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worksheets/sheet2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5" yWindow="-45" windowWidth="11775" windowHeight="6465" tabRatio="759"/>
  </bookViews>
  <sheets>
    <sheet name="Spec's" sheetId="1" r:id="rId1"/>
    <sheet name="Limited SPL" sheetId="11" r:id="rId2"/>
    <sheet name="Vp &amp; Ip" sheetId="5" r:id="rId3"/>
    <sheet name="Power &amp; SPL" sheetId="4" r:id="rId4"/>
    <sheet name="SPL @ 2.83V" sheetId="6" r:id="rId5"/>
    <sheet name="SPL &amp; Ip @ 10Vp" sheetId="9" r:id="rId6"/>
    <sheet name="max SPL @ Vpeak" sheetId="10" r:id="rId7"/>
    <sheet name="Impedance" sheetId="7" r:id="rId8"/>
    <sheet name="Test" sheetId="2" r:id="rId9"/>
    <sheet name="EQ" sheetId="8" r:id="rId10"/>
  </sheets>
  <calcPr calcId="125725"/>
</workbook>
</file>

<file path=xl/calcChain.xml><?xml version="1.0" encoding="utf-8"?>
<calcChain xmlns="http://schemas.openxmlformats.org/spreadsheetml/2006/main">
  <c r="E15" i="1"/>
  <c r="E16"/>
  <c r="I9"/>
  <c r="I15" s="1"/>
  <c r="R10"/>
  <c r="AD31" s="1"/>
  <c r="N6"/>
  <c r="V20"/>
  <c r="R16"/>
  <c r="R11"/>
  <c r="B36"/>
  <c r="B37"/>
  <c r="B38" s="1"/>
  <c r="V25"/>
  <c r="W9"/>
  <c r="W10"/>
  <c r="V15"/>
  <c r="V16" s="1"/>
  <c r="W8"/>
  <c r="W7"/>
  <c r="W6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35"/>
  <c r="T36"/>
  <c r="V36" s="1"/>
  <c r="T35"/>
  <c r="V35" s="1"/>
  <c r="N21"/>
  <c r="N20"/>
  <c r="N16"/>
  <c r="E14"/>
  <c r="E17"/>
  <c r="P31"/>
  <c r="S36" s="1"/>
  <c r="S35"/>
  <c r="N8"/>
  <c r="N7"/>
  <c r="D32" i="2"/>
  <c r="E32"/>
  <c r="C8"/>
  <c r="F32"/>
  <c r="D33"/>
  <c r="E33"/>
  <c r="F33"/>
  <c r="D34"/>
  <c r="E34"/>
  <c r="F34"/>
  <c r="D35"/>
  <c r="E35"/>
  <c r="F35"/>
  <c r="D36"/>
  <c r="E36"/>
  <c r="F36"/>
  <c r="D37"/>
  <c r="E37"/>
  <c r="F37"/>
  <c r="D38"/>
  <c r="E38"/>
  <c r="F38"/>
  <c r="D39"/>
  <c r="E39"/>
  <c r="F39"/>
  <c r="D40"/>
  <c r="E40"/>
  <c r="F40"/>
  <c r="D41"/>
  <c r="E41"/>
  <c r="F41"/>
  <c r="D42"/>
  <c r="E42"/>
  <c r="F42"/>
  <c r="D43"/>
  <c r="E43"/>
  <c r="F43"/>
  <c r="D44"/>
  <c r="E44"/>
  <c r="F44"/>
  <c r="D45"/>
  <c r="E45"/>
  <c r="F45"/>
  <c r="D46"/>
  <c r="E46"/>
  <c r="F46"/>
  <c r="D47"/>
  <c r="E47"/>
  <c r="F47"/>
  <c r="D48"/>
  <c r="E48"/>
  <c r="F48"/>
  <c r="D49"/>
  <c r="E49"/>
  <c r="F49"/>
  <c r="D50"/>
  <c r="E50"/>
  <c r="F50"/>
  <c r="D51"/>
  <c r="E51"/>
  <c r="F51"/>
  <c r="D52"/>
  <c r="E52"/>
  <c r="F52"/>
  <c r="D53"/>
  <c r="E53"/>
  <c r="F53"/>
  <c r="D54"/>
  <c r="E54"/>
  <c r="F54"/>
  <c r="D55"/>
  <c r="E55"/>
  <c r="F55"/>
  <c r="D56"/>
  <c r="E56"/>
  <c r="F56"/>
  <c r="D57"/>
  <c r="E57"/>
  <c r="F57"/>
  <c r="D58"/>
  <c r="E58"/>
  <c r="F58"/>
  <c r="D59"/>
  <c r="E59"/>
  <c r="F59"/>
  <c r="D60"/>
  <c r="E60"/>
  <c r="F60"/>
  <c r="D61"/>
  <c r="E61"/>
  <c r="F61"/>
  <c r="D62"/>
  <c r="E62"/>
  <c r="F62"/>
  <c r="D63"/>
  <c r="E63"/>
  <c r="F63"/>
  <c r="D64"/>
  <c r="E64"/>
  <c r="F64"/>
  <c r="D65"/>
  <c r="E65"/>
  <c r="F65"/>
  <c r="D66"/>
  <c r="E66"/>
  <c r="F66"/>
  <c r="F31"/>
  <c r="E31"/>
  <c r="D31"/>
  <c r="I33"/>
  <c r="C11"/>
  <c r="C12"/>
  <c r="C20" s="1"/>
  <c r="C21" s="1"/>
  <c r="I29"/>
  <c r="B3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E9" i="1" l="1"/>
  <c r="E11" s="1"/>
  <c r="C16" i="2"/>
  <c r="S37" i="1"/>
  <c r="T37"/>
  <c r="V37" s="1"/>
  <c r="I32" i="2"/>
  <c r="I35" s="1"/>
  <c r="I36" s="1"/>
  <c r="N9" i="1"/>
  <c r="I16"/>
  <c r="I10"/>
  <c r="I34" i="2"/>
  <c r="I31"/>
  <c r="B39" i="1"/>
  <c r="T38"/>
  <c r="V38" s="1"/>
  <c r="C17" i="2"/>
  <c r="S38" i="1"/>
  <c r="E12" l="1"/>
  <c r="I17"/>
  <c r="I12" s="1"/>
  <c r="D38"/>
  <c r="D36"/>
  <c r="C35"/>
  <c r="D35"/>
  <c r="C38"/>
  <c r="E38" s="1"/>
  <c r="D37"/>
  <c r="C39"/>
  <c r="C37"/>
  <c r="E37" s="1"/>
  <c r="C36"/>
  <c r="E13"/>
  <c r="C22" s="1"/>
  <c r="I19"/>
  <c r="B40"/>
  <c r="T39"/>
  <c r="V39" s="1"/>
  <c r="D39"/>
  <c r="S39"/>
  <c r="C31" i="2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E39" i="1"/>
  <c r="C26" l="1"/>
  <c r="C27" s="1"/>
  <c r="E35"/>
  <c r="E36"/>
  <c r="C23"/>
  <c r="B41"/>
  <c r="T40"/>
  <c r="V40" s="1"/>
  <c r="D40"/>
  <c r="S40"/>
  <c r="C40"/>
  <c r="I11"/>
  <c r="N10"/>
  <c r="E40" l="1"/>
  <c r="I18"/>
  <c r="I37" s="1"/>
  <c r="B42"/>
  <c r="T41"/>
  <c r="V41" s="1"/>
  <c r="D41"/>
  <c r="S41"/>
  <c r="C41"/>
  <c r="I41" l="1"/>
  <c r="I39"/>
  <c r="H39"/>
  <c r="L41"/>
  <c r="U41" s="1"/>
  <c r="H35"/>
  <c r="H40"/>
  <c r="I38"/>
  <c r="H41"/>
  <c r="J41" s="1"/>
  <c r="Z41" s="1"/>
  <c r="H37"/>
  <c r="H36"/>
  <c r="E41"/>
  <c r="I36"/>
  <c r="H38"/>
  <c r="I35"/>
  <c r="J35" s="1"/>
  <c r="Z35" s="1"/>
  <c r="J37"/>
  <c r="Z37" s="1"/>
  <c r="N41"/>
  <c r="B43"/>
  <c r="T42"/>
  <c r="V42" s="1"/>
  <c r="D42"/>
  <c r="I42"/>
  <c r="L42"/>
  <c r="S42"/>
  <c r="C42"/>
  <c r="E42" s="1"/>
  <c r="I20"/>
  <c r="L39"/>
  <c r="L35"/>
  <c r="L38"/>
  <c r="L37"/>
  <c r="L36"/>
  <c r="L40"/>
  <c r="I40"/>
  <c r="H42"/>
  <c r="J42" s="1"/>
  <c r="Z42" s="1"/>
  <c r="J38"/>
  <c r="Z38" s="1"/>
  <c r="J39"/>
  <c r="Z39" s="1"/>
  <c r="J40" l="1"/>
  <c r="Z40" s="1"/>
  <c r="Y41"/>
  <c r="W41"/>
  <c r="J36"/>
  <c r="Z36" s="1"/>
  <c r="N36"/>
  <c r="U36"/>
  <c r="N38"/>
  <c r="U38"/>
  <c r="N39"/>
  <c r="U39"/>
  <c r="N42"/>
  <c r="U42"/>
  <c r="Y42" s="1"/>
  <c r="B44"/>
  <c r="I43"/>
  <c r="L43"/>
  <c r="T43"/>
  <c r="V43" s="1"/>
  <c r="D43"/>
  <c r="S43"/>
  <c r="C43"/>
  <c r="E43" s="1"/>
  <c r="H43"/>
  <c r="J43" s="1"/>
  <c r="Z43" s="1"/>
  <c r="AB41"/>
  <c r="O41"/>
  <c r="Q41" s="1"/>
  <c r="R41"/>
  <c r="N40"/>
  <c r="U40"/>
  <c r="N37"/>
  <c r="U37"/>
  <c r="N35"/>
  <c r="U35"/>
  <c r="N28"/>
  <c r="I24"/>
  <c r="N24" s="1"/>
  <c r="I27"/>
  <c r="I23"/>
  <c r="N23" s="1"/>
  <c r="P41" l="1"/>
  <c r="W42"/>
  <c r="W37"/>
  <c r="Y37"/>
  <c r="I28"/>
  <c r="N26" s="1"/>
  <c r="N27" s="1"/>
  <c r="AB35"/>
  <c r="O35"/>
  <c r="Q35" s="1"/>
  <c r="R35"/>
  <c r="AB37"/>
  <c r="O37"/>
  <c r="Q37" s="1"/>
  <c r="R37"/>
  <c r="AB40"/>
  <c r="O40"/>
  <c r="Q40" s="1"/>
  <c r="R40"/>
  <c r="P40"/>
  <c r="AC41"/>
  <c r="AE41" s="1"/>
  <c r="AG41" s="1"/>
  <c r="N43"/>
  <c r="U43"/>
  <c r="Y43" s="1"/>
  <c r="B45"/>
  <c r="T44"/>
  <c r="V44" s="1"/>
  <c r="D44"/>
  <c r="I44"/>
  <c r="L44"/>
  <c r="S44"/>
  <c r="C44"/>
  <c r="E44" s="1"/>
  <c r="H44"/>
  <c r="J44" s="1"/>
  <c r="Z44" s="1"/>
  <c r="AB42"/>
  <c r="O42"/>
  <c r="Q42" s="1"/>
  <c r="R42"/>
  <c r="AB39"/>
  <c r="O39"/>
  <c r="Q39" s="1"/>
  <c r="R39"/>
  <c r="P39"/>
  <c r="AB38"/>
  <c r="O38"/>
  <c r="Q38" s="1"/>
  <c r="R38"/>
  <c r="AB36"/>
  <c r="O36"/>
  <c r="Q36" s="1"/>
  <c r="R36"/>
  <c r="Y35"/>
  <c r="W35"/>
  <c r="Y40"/>
  <c r="W40"/>
  <c r="Y39"/>
  <c r="W39"/>
  <c r="Y38"/>
  <c r="W38"/>
  <c r="Y36"/>
  <c r="W36"/>
  <c r="P37" l="1"/>
  <c r="P42"/>
  <c r="P35"/>
  <c r="P36"/>
  <c r="P38"/>
  <c r="AC36"/>
  <c r="AE36" s="1"/>
  <c r="AG36" s="1"/>
  <c r="AC38"/>
  <c r="AE38" s="1"/>
  <c r="AG38" s="1"/>
  <c r="AC39"/>
  <c r="AE39" s="1"/>
  <c r="AG39" s="1"/>
  <c r="AC42"/>
  <c r="AE42" s="1"/>
  <c r="AG42" s="1"/>
  <c r="N44"/>
  <c r="U44"/>
  <c r="Y44" s="1"/>
  <c r="B46"/>
  <c r="I45"/>
  <c r="L45"/>
  <c r="T45"/>
  <c r="V45" s="1"/>
  <c r="D45"/>
  <c r="S45"/>
  <c r="C45"/>
  <c r="E45" s="1"/>
  <c r="H45"/>
  <c r="AB43"/>
  <c r="O43"/>
  <c r="Q43" s="1"/>
  <c r="R43"/>
  <c r="AC40"/>
  <c r="AE40" s="1"/>
  <c r="AG40" s="1"/>
  <c r="AC37"/>
  <c r="AE37" s="1"/>
  <c r="AG37" s="1"/>
  <c r="AC35"/>
  <c r="AE35" s="1"/>
  <c r="AG35" s="1"/>
  <c r="W43"/>
  <c r="AD41"/>
  <c r="J45" l="1"/>
  <c r="Z45" s="1"/>
  <c r="W44"/>
  <c r="AD40"/>
  <c r="AD38"/>
  <c r="AD36"/>
  <c r="AD35"/>
  <c r="AD42"/>
  <c r="AC43"/>
  <c r="AE43" s="1"/>
  <c r="AG43" s="1"/>
  <c r="N45"/>
  <c r="U45"/>
  <c r="Y45" s="1"/>
  <c r="B47"/>
  <c r="T46"/>
  <c r="V46" s="1"/>
  <c r="D46"/>
  <c r="I46"/>
  <c r="L46"/>
  <c r="S46"/>
  <c r="C46"/>
  <c r="E46" s="1"/>
  <c r="H46"/>
  <c r="J46" s="1"/>
  <c r="Z46" s="1"/>
  <c r="AB44"/>
  <c r="O44"/>
  <c r="Q44" s="1"/>
  <c r="R44"/>
  <c r="P43"/>
  <c r="AD37"/>
  <c r="AD39"/>
  <c r="W45" l="1"/>
  <c r="P44"/>
  <c r="AC44"/>
  <c r="AE44" s="1"/>
  <c r="AG44" s="1"/>
  <c r="N46"/>
  <c r="U46"/>
  <c r="Y46" s="1"/>
  <c r="B48"/>
  <c r="I47"/>
  <c r="L47"/>
  <c r="T47"/>
  <c r="V47" s="1"/>
  <c r="D47"/>
  <c r="S47"/>
  <c r="C47"/>
  <c r="E47" s="1"/>
  <c r="H47"/>
  <c r="AB45"/>
  <c r="O45"/>
  <c r="Q45" s="1"/>
  <c r="R45"/>
  <c r="P45"/>
  <c r="AD43"/>
  <c r="W46"/>
  <c r="J47" l="1"/>
  <c r="Z47" s="1"/>
  <c r="AD44"/>
  <c r="AC45"/>
  <c r="AE45" s="1"/>
  <c r="AG45" s="1"/>
  <c r="N47"/>
  <c r="U47"/>
  <c r="Y47" s="1"/>
  <c r="B49"/>
  <c r="T48"/>
  <c r="V48" s="1"/>
  <c r="D48"/>
  <c r="I48"/>
  <c r="L48"/>
  <c r="S48"/>
  <c r="C48"/>
  <c r="E48" s="1"/>
  <c r="H48"/>
  <c r="J48" s="1"/>
  <c r="Z48" s="1"/>
  <c r="AB46"/>
  <c r="O46"/>
  <c r="Q46" s="1"/>
  <c r="R46"/>
  <c r="P46"/>
  <c r="W47" l="1"/>
  <c r="AC46"/>
  <c r="AE46" s="1"/>
  <c r="AG46" s="1"/>
  <c r="N48"/>
  <c r="U48"/>
  <c r="Y48" s="1"/>
  <c r="B50"/>
  <c r="I49"/>
  <c r="L49"/>
  <c r="T49"/>
  <c r="V49" s="1"/>
  <c r="D49"/>
  <c r="S49"/>
  <c r="C49"/>
  <c r="E49" s="1"/>
  <c r="H49"/>
  <c r="J49" s="1"/>
  <c r="Z49" s="1"/>
  <c r="AB47"/>
  <c r="O47"/>
  <c r="Q47" s="1"/>
  <c r="R47"/>
  <c r="W48"/>
  <c r="AD45"/>
  <c r="AD46" l="1"/>
  <c r="AC47"/>
  <c r="AE47" s="1"/>
  <c r="AG47" s="1"/>
  <c r="N49"/>
  <c r="U49"/>
  <c r="Y49" s="1"/>
  <c r="B51"/>
  <c r="T50"/>
  <c r="V50" s="1"/>
  <c r="D50"/>
  <c r="I50"/>
  <c r="L50"/>
  <c r="S50"/>
  <c r="C50"/>
  <c r="E50" s="1"/>
  <c r="H50"/>
  <c r="AB48"/>
  <c r="O48"/>
  <c r="Q48" s="1"/>
  <c r="R48"/>
  <c r="P47"/>
  <c r="P48" l="1"/>
  <c r="J50"/>
  <c r="Z50" s="1"/>
  <c r="W49"/>
  <c r="AC48"/>
  <c r="AE48" s="1"/>
  <c r="AG48" s="1"/>
  <c r="N50"/>
  <c r="U50"/>
  <c r="Y50" s="1"/>
  <c r="B52"/>
  <c r="I51"/>
  <c r="L51"/>
  <c r="T51"/>
  <c r="V51" s="1"/>
  <c r="D51"/>
  <c r="S51"/>
  <c r="C51"/>
  <c r="E51" s="1"/>
  <c r="H51"/>
  <c r="AB49"/>
  <c r="O49"/>
  <c r="Q49" s="1"/>
  <c r="R49"/>
  <c r="AD47"/>
  <c r="J51" l="1"/>
  <c r="Z51" s="1"/>
  <c r="P49"/>
  <c r="AD48"/>
  <c r="W50"/>
  <c r="AC49"/>
  <c r="AE49" s="1"/>
  <c r="AG49" s="1"/>
  <c r="N51"/>
  <c r="U51"/>
  <c r="Y51" s="1"/>
  <c r="B53"/>
  <c r="T52"/>
  <c r="V52" s="1"/>
  <c r="D52"/>
  <c r="I52"/>
  <c r="L52"/>
  <c r="S52"/>
  <c r="C52"/>
  <c r="E52" s="1"/>
  <c r="H52"/>
  <c r="J52" s="1"/>
  <c r="Z52" s="1"/>
  <c r="AB50"/>
  <c r="O50"/>
  <c r="Q50" s="1"/>
  <c r="R50"/>
  <c r="P50"/>
  <c r="W51" l="1"/>
  <c r="AC50"/>
  <c r="AE50" s="1"/>
  <c r="AG50" s="1"/>
  <c r="N52"/>
  <c r="U52"/>
  <c r="Y52" s="1"/>
  <c r="B54"/>
  <c r="I53"/>
  <c r="L53"/>
  <c r="T53"/>
  <c r="V53" s="1"/>
  <c r="D53"/>
  <c r="S53"/>
  <c r="C53"/>
  <c r="E53" s="1"/>
  <c r="H53"/>
  <c r="J53" s="1"/>
  <c r="Z53" s="1"/>
  <c r="AB51"/>
  <c r="O51"/>
  <c r="Q51" s="1"/>
  <c r="R51"/>
  <c r="AD49"/>
  <c r="P51" l="1"/>
  <c r="W52"/>
  <c r="AD50"/>
  <c r="AC51"/>
  <c r="AE51" s="1"/>
  <c r="AG51" s="1"/>
  <c r="N53"/>
  <c r="U53"/>
  <c r="Y53" s="1"/>
  <c r="B55"/>
  <c r="T54"/>
  <c r="V54" s="1"/>
  <c r="D54"/>
  <c r="I54"/>
  <c r="L54"/>
  <c r="S54"/>
  <c r="C54"/>
  <c r="E54" s="1"/>
  <c r="H54"/>
  <c r="AB52"/>
  <c r="O52"/>
  <c r="Q52" s="1"/>
  <c r="R52"/>
  <c r="J54" l="1"/>
  <c r="Z54" s="1"/>
  <c r="P52"/>
  <c r="W53"/>
  <c r="AC52"/>
  <c r="AE52" s="1"/>
  <c r="AG52" s="1"/>
  <c r="N54"/>
  <c r="U54"/>
  <c r="Y54" s="1"/>
  <c r="B56"/>
  <c r="I55"/>
  <c r="L55"/>
  <c r="T55"/>
  <c r="V55" s="1"/>
  <c r="D55"/>
  <c r="S55"/>
  <c r="C55"/>
  <c r="H55"/>
  <c r="J55" s="1"/>
  <c r="Z55" s="1"/>
  <c r="AB53"/>
  <c r="O53"/>
  <c r="Q53" s="1"/>
  <c r="R53"/>
  <c r="P53"/>
  <c r="AD51"/>
  <c r="W54" l="1"/>
  <c r="E55"/>
  <c r="AD52"/>
  <c r="AC53"/>
  <c r="AE53" s="1"/>
  <c r="AG53" s="1"/>
  <c r="N55"/>
  <c r="U55"/>
  <c r="Y55" s="1"/>
  <c r="B57"/>
  <c r="T56"/>
  <c r="V56" s="1"/>
  <c r="D56"/>
  <c r="I56"/>
  <c r="L56"/>
  <c r="S56"/>
  <c r="C56"/>
  <c r="E56" s="1"/>
  <c r="H56"/>
  <c r="AB54"/>
  <c r="O54"/>
  <c r="Q54" s="1"/>
  <c r="R54"/>
  <c r="P54" l="1"/>
  <c r="J56"/>
  <c r="Z56" s="1"/>
  <c r="W55"/>
  <c r="AC54"/>
  <c r="AE54" s="1"/>
  <c r="AG54" s="1"/>
  <c r="N56"/>
  <c r="U56"/>
  <c r="Y56" s="1"/>
  <c r="B58"/>
  <c r="I57"/>
  <c r="L57"/>
  <c r="T57"/>
  <c r="V57" s="1"/>
  <c r="D57"/>
  <c r="S57"/>
  <c r="C57"/>
  <c r="H57"/>
  <c r="J57" s="1"/>
  <c r="Z57" s="1"/>
  <c r="AB55"/>
  <c r="O55"/>
  <c r="Q55" s="1"/>
  <c r="R55"/>
  <c r="AD53"/>
  <c r="E57" l="1"/>
  <c r="P55"/>
  <c r="W56"/>
  <c r="AD54"/>
  <c r="AC55"/>
  <c r="AE55" s="1"/>
  <c r="AG55" s="1"/>
  <c r="U57"/>
  <c r="Y57" s="1"/>
  <c r="N57"/>
  <c r="B59"/>
  <c r="T58"/>
  <c r="V58" s="1"/>
  <c r="D58"/>
  <c r="I58"/>
  <c r="L58"/>
  <c r="S58"/>
  <c r="C58"/>
  <c r="E58" s="1"/>
  <c r="H58"/>
  <c r="AB56"/>
  <c r="O56"/>
  <c r="Q56" s="1"/>
  <c r="R56"/>
  <c r="J58" l="1"/>
  <c r="Z58" s="1"/>
  <c r="W57"/>
  <c r="P56"/>
  <c r="AB57"/>
  <c r="O57"/>
  <c r="Q57" s="1"/>
  <c r="R57"/>
  <c r="AC56"/>
  <c r="AE56" s="1"/>
  <c r="AG56" s="1"/>
  <c r="N58"/>
  <c r="U58"/>
  <c r="Y58" s="1"/>
  <c r="B60"/>
  <c r="I59"/>
  <c r="L59"/>
  <c r="T59"/>
  <c r="V59" s="1"/>
  <c r="D59"/>
  <c r="S59"/>
  <c r="C59"/>
  <c r="H59"/>
  <c r="AD55"/>
  <c r="E59" l="1"/>
  <c r="J59"/>
  <c r="Z59" s="1"/>
  <c r="W58"/>
  <c r="AD56"/>
  <c r="N59"/>
  <c r="U59"/>
  <c r="Y59" s="1"/>
  <c r="B61"/>
  <c r="T60"/>
  <c r="V60" s="1"/>
  <c r="D60"/>
  <c r="I60"/>
  <c r="L60"/>
  <c r="S60"/>
  <c r="C60"/>
  <c r="E60" s="1"/>
  <c r="H60"/>
  <c r="J60" s="1"/>
  <c r="Z60" s="1"/>
  <c r="AB58"/>
  <c r="O58"/>
  <c r="Q58" s="1"/>
  <c r="R58"/>
  <c r="AC57"/>
  <c r="AE57" s="1"/>
  <c r="AG57" s="1"/>
  <c r="P57"/>
  <c r="AC58" l="1"/>
  <c r="AE58" s="1"/>
  <c r="AG58" s="1"/>
  <c r="N60"/>
  <c r="U60"/>
  <c r="Y60" s="1"/>
  <c r="B62"/>
  <c r="I61"/>
  <c r="L61"/>
  <c r="T61"/>
  <c r="V61" s="1"/>
  <c r="D61"/>
  <c r="S61"/>
  <c r="C61"/>
  <c r="H61"/>
  <c r="J61" s="1"/>
  <c r="Z61" s="1"/>
  <c r="AB59"/>
  <c r="O59"/>
  <c r="Q59" s="1"/>
  <c r="R59"/>
  <c r="P58"/>
  <c r="W59"/>
  <c r="AD57"/>
  <c r="E61" l="1"/>
  <c r="AD58"/>
  <c r="P59"/>
  <c r="AC59"/>
  <c r="AE59" s="1"/>
  <c r="AG59" s="1"/>
  <c r="U61"/>
  <c r="Y61" s="1"/>
  <c r="N61"/>
  <c r="T62"/>
  <c r="V62" s="1"/>
  <c r="D62"/>
  <c r="I62"/>
  <c r="L62"/>
  <c r="S62"/>
  <c r="C62"/>
  <c r="E62" s="1"/>
  <c r="H62"/>
  <c r="J62" s="1"/>
  <c r="Z62" s="1"/>
  <c r="AB60"/>
  <c r="O60"/>
  <c r="Q60" s="1"/>
  <c r="R60"/>
  <c r="P60"/>
  <c r="W60"/>
  <c r="W61" l="1"/>
  <c r="AD59"/>
  <c r="N62"/>
  <c r="U62"/>
  <c r="Y62" s="1"/>
  <c r="AB61"/>
  <c r="O61"/>
  <c r="Q61" s="1"/>
  <c r="R61"/>
  <c r="W62"/>
  <c r="AC60"/>
  <c r="AE60" s="1"/>
  <c r="AG60" s="1"/>
  <c r="AD60" l="1"/>
  <c r="AC61"/>
  <c r="AE61" s="1"/>
  <c r="AG61" s="1"/>
  <c r="AB62"/>
  <c r="O62"/>
  <c r="Q62" s="1"/>
  <c r="R62"/>
  <c r="P61"/>
  <c r="P62" l="1"/>
  <c r="AC62"/>
  <c r="AE62" s="1"/>
  <c r="AG62" s="1"/>
  <c r="AD61"/>
  <c r="AD62" l="1"/>
</calcChain>
</file>

<file path=xl/sharedStrings.xml><?xml version="1.0" encoding="utf-8"?>
<sst xmlns="http://schemas.openxmlformats.org/spreadsheetml/2006/main" count="290" uniqueCount="163">
  <si>
    <t>Re =</t>
  </si>
  <si>
    <t>Le =</t>
  </si>
  <si>
    <t xml:space="preserve">Fs = </t>
  </si>
  <si>
    <t>Qms =</t>
  </si>
  <si>
    <t>Qes =</t>
  </si>
  <si>
    <t>Qts =</t>
  </si>
  <si>
    <t>Rms =</t>
  </si>
  <si>
    <t>Mms =</t>
  </si>
  <si>
    <t>VAS =</t>
  </si>
  <si>
    <t>Cms =</t>
  </si>
  <si>
    <t>Sd =</t>
  </si>
  <si>
    <t>Bl =</t>
  </si>
  <si>
    <t>ohm</t>
  </si>
  <si>
    <t>mH</t>
  </si>
  <si>
    <t>Hz</t>
  </si>
  <si>
    <t>Ns/m</t>
  </si>
  <si>
    <t>mm/N</t>
  </si>
  <si>
    <t>ltr</t>
  </si>
  <si>
    <t>Fb =</t>
  </si>
  <si>
    <t>L =</t>
  </si>
  <si>
    <t>C =</t>
  </si>
  <si>
    <t>R =</t>
  </si>
  <si>
    <t>Cms' =</t>
  </si>
  <si>
    <t>VAS' =</t>
  </si>
  <si>
    <t>uF</t>
  </si>
  <si>
    <t>Qb =</t>
  </si>
  <si>
    <t>Qm =</t>
  </si>
  <si>
    <t>Qe =</t>
  </si>
  <si>
    <t>Qt =</t>
  </si>
  <si>
    <t>Cmb =</t>
  </si>
  <si>
    <t>Rmb =</t>
  </si>
  <si>
    <t>Reb =</t>
  </si>
  <si>
    <t>1 - Driver data</t>
  </si>
  <si>
    <t>2 - Box data</t>
  </si>
  <si>
    <t>3 - Driver in box</t>
  </si>
  <si>
    <t>Model =</t>
  </si>
  <si>
    <t>Int. vol. =</t>
  </si>
  <si>
    <t>real 1 =</t>
  </si>
  <si>
    <t>real 2 =</t>
  </si>
  <si>
    <t>real =</t>
  </si>
  <si>
    <t xml:space="preserve">1a - Pole location (Qts &lt; 0.5) </t>
  </si>
  <si>
    <t>1b - Pole location (Qts &gt; 0.5)</t>
  </si>
  <si>
    <t xml:space="preserve">3a - Pole location (Qt &lt; 0.5) </t>
  </si>
  <si>
    <t>3b - Pole location (Qt &gt; 0.5)</t>
  </si>
  <si>
    <t>+/- imag =</t>
  </si>
  <si>
    <t>Xmax =</t>
  </si>
  <si>
    <t>mm</t>
  </si>
  <si>
    <t>4 - Driver in box model</t>
  </si>
  <si>
    <t>Freq</t>
  </si>
  <si>
    <t>Real</t>
  </si>
  <si>
    <t>Imag</t>
  </si>
  <si>
    <t>j-ohm</t>
  </si>
  <si>
    <t>Magn</t>
  </si>
  <si>
    <t>mm/V</t>
  </si>
  <si>
    <t>VA</t>
  </si>
  <si>
    <t>A</t>
  </si>
  <si>
    <t>W</t>
  </si>
  <si>
    <t xml:space="preserve"> </t>
  </si>
  <si>
    <t>SPL @ 1m</t>
  </si>
  <si>
    <t>free-space</t>
  </si>
  <si>
    <t>dB</t>
  </si>
  <si>
    <t>Frequ.</t>
  </si>
  <si>
    <t>VpIp/2</t>
  </si>
  <si>
    <t>Vpeak</t>
  </si>
  <si>
    <t>Ipeak</t>
  </si>
  <si>
    <t>V</t>
  </si>
  <si>
    <t>8 ohm equiv. power</t>
  </si>
  <si>
    <t>at Vp</t>
  </si>
  <si>
    <t>at Ip</t>
  </si>
  <si>
    <t>ohm *</t>
  </si>
  <si>
    <t>N/A *</t>
  </si>
  <si>
    <t>Ns/m *</t>
  </si>
  <si>
    <t>g *</t>
  </si>
  <si>
    <t>mm/N *</t>
  </si>
  <si>
    <t>cm2 *</t>
  </si>
  <si>
    <t>mm *</t>
  </si>
  <si>
    <t>mH *</t>
  </si>
  <si>
    <t xml:space="preserve">© LINKWITZ LAB </t>
  </si>
  <si>
    <t>* = required parameters</t>
  </si>
  <si>
    <t>Leb =</t>
  </si>
  <si>
    <t>Displacmt.</t>
  </si>
  <si>
    <t>sensitivity</t>
  </si>
  <si>
    <t>5 - Target response</t>
  </si>
  <si>
    <t xml:space="preserve">fp = </t>
  </si>
  <si>
    <t>Qp =</t>
  </si>
  <si>
    <t>F3db =</t>
  </si>
  <si>
    <t>6 - Equalizer poles and zeros</t>
  </si>
  <si>
    <t>fp =</t>
  </si>
  <si>
    <t>Qt &lt; 0.5</t>
  </si>
  <si>
    <t>f01 =</t>
  </si>
  <si>
    <t>f02 =</t>
  </si>
  <si>
    <t>Qt &gt; 0.5</t>
  </si>
  <si>
    <t>f0 =</t>
  </si>
  <si>
    <t>Q0 =</t>
  </si>
  <si>
    <t>Sensitivity =</t>
  </si>
  <si>
    <t>dB @ 2.83V</t>
  </si>
  <si>
    <t>Target</t>
  </si>
  <si>
    <t>Equalizer</t>
  </si>
  <si>
    <t>Ref.</t>
  </si>
  <si>
    <t>Rdc =</t>
  </si>
  <si>
    <t>Rmax =</t>
  </si>
  <si>
    <t>R12 =</t>
  </si>
  <si>
    <t>F1 =</t>
  </si>
  <si>
    <t>F2 =</t>
  </si>
  <si>
    <t xml:space="preserve"> Fmax =</t>
  </si>
  <si>
    <t>F0 =</t>
  </si>
  <si>
    <t xml:space="preserve">1a - Pole location (Q0 &lt; 0.5) </t>
  </si>
  <si>
    <t>Qt = Q0 =</t>
  </si>
  <si>
    <t>?</t>
  </si>
  <si>
    <t>1b - Pole location (Q0 &gt; 0.5)</t>
  </si>
  <si>
    <r>
      <t xml:space="preserve">1 - F0, Q0 from </t>
    </r>
    <r>
      <rPr>
        <b/>
        <sz val="10"/>
        <rFont val="Arial"/>
        <family val="2"/>
      </rPr>
      <t>measured</t>
    </r>
    <r>
      <rPr>
        <sz val="10"/>
        <rFont val="Arial"/>
      </rPr>
      <t xml:space="preserve"> values</t>
    </r>
  </si>
  <si>
    <t>Frequ</t>
  </si>
  <si>
    <t>%</t>
  </si>
  <si>
    <t>Zin</t>
  </si>
  <si>
    <t>Rdc</t>
  </si>
  <si>
    <t>Rmax</t>
  </si>
  <si>
    <t>R12</t>
  </si>
  <si>
    <t>Graph</t>
  </si>
  <si>
    <t>Start =</t>
  </si>
  <si>
    <t>Incremt =</t>
  </si>
  <si>
    <t>© LINKWITZ LAB</t>
  </si>
  <si>
    <t>7/18/01</t>
  </si>
  <si>
    <t>Graph - Frequency axis</t>
  </si>
  <si>
    <t>(Replace bold faced numbers with your own data)</t>
  </si>
  <si>
    <t>in^3</t>
  </si>
  <si>
    <t>ltr   --&gt;</t>
  </si>
  <si>
    <t>in^3   --&gt;</t>
  </si>
  <si>
    <t>ft^3</t>
  </si>
  <si>
    <t>Conversions</t>
  </si>
  <si>
    <t>a - Driver Impedance</t>
  </si>
  <si>
    <t>b - In-box impedance</t>
  </si>
  <si>
    <t>c - For 1V</t>
  </si>
  <si>
    <t>d - For Xmax =</t>
  </si>
  <si>
    <t>e - For 2.83V</t>
  </si>
  <si>
    <t>Determination of F0, Q0 from a terminal impedance measurement</t>
  </si>
  <si>
    <t>Closed box woofer design</t>
  </si>
  <si>
    <t xml:space="preserve">2 - Terminal impedance model </t>
  </si>
  <si>
    <t>d2 =</t>
  </si>
  <si>
    <t>Box air spring distortion at Xmax</t>
  </si>
  <si>
    <t>(approximate value for 2nd harmonic)</t>
  </si>
  <si>
    <t>Box internal SPL at Xmax</t>
  </si>
  <si>
    <t>SPL =</t>
  </si>
  <si>
    <t>m^3</t>
  </si>
  <si>
    <t>Volume =</t>
  </si>
  <si>
    <t>ft^3  --&gt;</t>
  </si>
  <si>
    <t>Closed room SPL at Xmax</t>
  </si>
  <si>
    <t>(Below lowest mode frequency)</t>
  </si>
  <si>
    <t>f - For 10Vpeak</t>
  </si>
  <si>
    <t>k =</t>
  </si>
  <si>
    <t>&gt;0  for LT</t>
  </si>
  <si>
    <t>P =</t>
  </si>
  <si>
    <t>Rload =</t>
  </si>
  <si>
    <t>7 - Power amplifier spec's</t>
  </si>
  <si>
    <t>Ipeak =</t>
  </si>
  <si>
    <t>Vpeak =</t>
  </si>
  <si>
    <t>8 - Dipole path length</t>
  </si>
  <si>
    <t>D =</t>
  </si>
  <si>
    <t xml:space="preserve">Fequal = </t>
  </si>
  <si>
    <t>g - max SPL for amplifier with Vpeak =</t>
  </si>
  <si>
    <t>h - Dipole</t>
  </si>
  <si>
    <t>Imax =</t>
  </si>
  <si>
    <t>V @ Rload</t>
  </si>
  <si>
    <t>A @ Rload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</si>
</sst>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0" fillId="0" borderId="5" xfId="0" applyBorder="1"/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1" fontId="0" fillId="0" borderId="7" xfId="0" applyNumberFormat="1" applyBorder="1" applyAlignment="1">
      <alignment horizontal="center"/>
    </xf>
    <xf numFmtId="0" fontId="0" fillId="0" borderId="8" xfId="0" applyBorder="1"/>
    <xf numFmtId="2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6" xfId="0" quotePrefix="1" applyBorder="1" applyAlignment="1">
      <alignment horizontal="righ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1" fontId="0" fillId="0" borderId="2" xfId="0" applyNumberFormat="1" applyBorder="1" applyAlignment="1">
      <alignment horizontal="center"/>
    </xf>
    <xf numFmtId="1" fontId="0" fillId="0" borderId="0" xfId="0" applyNumberFormat="1"/>
    <xf numFmtId="0" fontId="1" fillId="0" borderId="0" xfId="0" applyFont="1"/>
    <xf numFmtId="0" fontId="0" fillId="0" borderId="0" xfId="0" quotePrefix="1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Continuous"/>
    </xf>
    <xf numFmtId="0" fontId="0" fillId="0" borderId="6" xfId="0" applyBorder="1"/>
    <xf numFmtId="0" fontId="0" fillId="0" borderId="4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64" fontId="1" fillId="0" borderId="0" xfId="0" applyNumberFormat="1" applyFont="1" applyAlignment="1">
      <alignment horizontal="center"/>
    </xf>
    <xf numFmtId="0" fontId="1" fillId="0" borderId="0" xfId="0" quotePrefix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/>
    <xf numFmtId="0" fontId="0" fillId="0" borderId="2" xfId="0" applyBorder="1" applyAlignment="1">
      <alignment horizontal="left"/>
    </xf>
    <xf numFmtId="0" fontId="1" fillId="0" borderId="4" xfId="0" applyFont="1" applyBorder="1"/>
    <xf numFmtId="0" fontId="1" fillId="0" borderId="6" xfId="0" applyFont="1" applyBorder="1"/>
    <xf numFmtId="164" fontId="0" fillId="0" borderId="2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1" fontId="0" fillId="0" borderId="13" xfId="0" applyNumberFormat="1" applyBorder="1" applyAlignment="1">
      <alignment horizontal="center"/>
    </xf>
    <xf numFmtId="0" fontId="0" fillId="0" borderId="14" xfId="0" applyBorder="1"/>
    <xf numFmtId="1" fontId="1" fillId="0" borderId="2" xfId="0" applyNumberFormat="1" applyFont="1" applyBorder="1" applyAlignment="1">
      <alignment horizontal="center"/>
    </xf>
    <xf numFmtId="0" fontId="0" fillId="0" borderId="4" xfId="0" applyBorder="1"/>
    <xf numFmtId="0" fontId="0" fillId="0" borderId="13" xfId="0" applyBorder="1"/>
    <xf numFmtId="0" fontId="0" fillId="0" borderId="14" xfId="0" applyBorder="1" applyAlignment="1">
      <alignment horizontal="left"/>
    </xf>
    <xf numFmtId="2" fontId="0" fillId="0" borderId="13" xfId="0" applyNumberFormat="1" applyBorder="1" applyAlignment="1">
      <alignment horizontal="center"/>
    </xf>
    <xf numFmtId="164" fontId="0" fillId="0" borderId="0" xfId="0" applyNumberFormat="1"/>
    <xf numFmtId="0" fontId="1" fillId="2" borderId="0" xfId="0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3" borderId="4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theme" Target="theme/theme1.xml"/><Relationship Id="rId5" Type="http://schemas.openxmlformats.org/officeDocument/2006/relationships/chartsheet" Target="chartsheets/sheet4.xml"/><Relationship Id="rId10" Type="http://schemas.openxmlformats.org/officeDocument/2006/relationships/chartsheet" Target="chartsheets/sheet8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2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Vp, Imax &amp; Xmax limited SPL</a:t>
            </a:r>
          </a:p>
        </c:rich>
      </c:tx>
      <c:layout>
        <c:manualLayout>
          <c:xMode val="edge"/>
          <c:yMode val="edge"/>
          <c:x val="0.36071032186459506"/>
          <c:y val="2.44698205546492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9911209766925687E-2"/>
          <c:y val="0.12071778140293642"/>
          <c:w val="0.80022197558268593"/>
          <c:h val="0.76998368678629692"/>
        </c:manualLayout>
      </c:layout>
      <c:lineChart>
        <c:grouping val="standard"/>
        <c:ser>
          <c:idx val="1"/>
          <c:order val="1"/>
          <c:tx>
            <c:v>Vp Ip/2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'Spec''s'!$T$35:$T$62</c:f>
              <c:numCache>
                <c:formatCode>0</c:formatCod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16.406707120152749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32.813414240305477</c:v>
                </c:pt>
                <c:pt idx="13">
                  <c:v>36.228946570556218</c:v>
                </c:pt>
                <c:pt idx="14">
                  <c:v>39.999999999999943</c:v>
                </c:pt>
                <c:pt idx="15">
                  <c:v>44.163580546952424</c:v>
                </c:pt>
                <c:pt idx="16">
                  <c:v>48.760546168178941</c:v>
                </c:pt>
                <c:pt idx="17">
                  <c:v>53.836007705294158</c:v>
                </c:pt>
                <c:pt idx="18">
                  <c:v>59.439771565477834</c:v>
                </c:pt>
                <c:pt idx="19">
                  <c:v>65.626828480610911</c:v>
                </c:pt>
                <c:pt idx="20">
                  <c:v>72.457893141112393</c:v>
                </c:pt>
                <c:pt idx="21">
                  <c:v>79.999999999999844</c:v>
                </c:pt>
                <c:pt idx="22">
                  <c:v>88.327161093904806</c:v>
                </c:pt>
                <c:pt idx="23">
                  <c:v>97.521092336357825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'Spec''s'!$AD$35:$AD$62</c:f>
              <c:numCache>
                <c:formatCode>0</c:formatCode>
                <c:ptCount val="28"/>
                <c:pt idx="0">
                  <c:v>6.5275888815002352</c:v>
                </c:pt>
                <c:pt idx="1">
                  <c:v>6.4231851958493591</c:v>
                </c:pt>
                <c:pt idx="2">
                  <c:v>6.2974842551187811</c:v>
                </c:pt>
                <c:pt idx="3">
                  <c:v>6.1465768459608325</c:v>
                </c:pt>
                <c:pt idx="4">
                  <c:v>5.9660580163283807</c:v>
                </c:pt>
                <c:pt idx="5">
                  <c:v>5.7510872808171625</c:v>
                </c:pt>
                <c:pt idx="6">
                  <c:v>5.4965373915138294</c:v>
                </c:pt>
                <c:pt idx="7">
                  <c:v>5.1972801928254979</c:v>
                </c:pt>
                <c:pt idx="8">
                  <c:v>4.8486735418181706</c:v>
                </c:pt>
                <c:pt idx="9">
                  <c:v>4.4473218245716977</c:v>
                </c:pt>
                <c:pt idx="10">
                  <c:v>3.9921593176913088</c:v>
                </c:pt>
                <c:pt idx="11">
                  <c:v>3.4857821788008585</c:v>
                </c:pt>
                <c:pt idx="12">
                  <c:v>2.9355633069943377</c:v>
                </c:pt>
                <c:pt idx="13">
                  <c:v>2.3531125164526445</c:v>
                </c:pt>
                <c:pt idx="14">
                  <c:v>1.7492593582997804</c:v>
                </c:pt>
                <c:pt idx="15">
                  <c:v>1.1288530236826582</c:v>
                </c:pt>
                <c:pt idx="16">
                  <c:v>0.65681740862360871</c:v>
                </c:pt>
                <c:pt idx="17">
                  <c:v>1.4281488114125387</c:v>
                </c:pt>
                <c:pt idx="18">
                  <c:v>3.5472077323198747</c:v>
                </c:pt>
                <c:pt idx="19">
                  <c:v>7.3691930092397655</c:v>
                </c:pt>
                <c:pt idx="20">
                  <c:v>13.926331310549784</c:v>
                </c:pt>
                <c:pt idx="21">
                  <c:v>24.809495425319508</c:v>
                </c:pt>
                <c:pt idx="22">
                  <c:v>42.407080119087063</c:v>
                </c:pt>
                <c:pt idx="23">
                  <c:v>70.295532188291943</c:v>
                </c:pt>
                <c:pt idx="24">
                  <c:v>113.8164441147527</c:v>
                </c:pt>
                <c:pt idx="25">
                  <c:v>180.92205716027928</c:v>
                </c:pt>
                <c:pt idx="26">
                  <c:v>234.32042672184087</c:v>
                </c:pt>
                <c:pt idx="27">
                  <c:v>235.74512186388372</c:v>
                </c:pt>
              </c:numCache>
            </c:numRef>
          </c:val>
        </c:ser>
        <c:marker val="1"/>
        <c:axId val="79311616"/>
        <c:axId val="79314304"/>
      </c:lineChart>
      <c:lineChart>
        <c:grouping val="standard"/>
        <c:ser>
          <c:idx val="0"/>
          <c:order val="0"/>
          <c:tx>
            <c:v>SPL @ Xmax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'Spec''s'!$T$35:$T$62</c:f>
              <c:numCache>
                <c:formatCode>0</c:formatCod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16.406707120152749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32.813414240305477</c:v>
                </c:pt>
                <c:pt idx="13">
                  <c:v>36.228946570556218</c:v>
                </c:pt>
                <c:pt idx="14">
                  <c:v>39.999999999999943</c:v>
                </c:pt>
                <c:pt idx="15">
                  <c:v>44.163580546952424</c:v>
                </c:pt>
                <c:pt idx="16">
                  <c:v>48.760546168178941</c:v>
                </c:pt>
                <c:pt idx="17">
                  <c:v>53.836007705294158</c:v>
                </c:pt>
                <c:pt idx="18">
                  <c:v>59.439771565477834</c:v>
                </c:pt>
                <c:pt idx="19">
                  <c:v>65.626828480610911</c:v>
                </c:pt>
                <c:pt idx="20">
                  <c:v>72.457893141112393</c:v>
                </c:pt>
                <c:pt idx="21">
                  <c:v>79.999999999999844</c:v>
                </c:pt>
                <c:pt idx="22">
                  <c:v>88.327161093904806</c:v>
                </c:pt>
                <c:pt idx="23">
                  <c:v>97.521092336357825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'Spec''s'!$S$35:$S$62</c:f>
              <c:numCache>
                <c:formatCode>0</c:formatCode>
                <c:ptCount val="28"/>
                <c:pt idx="0">
                  <c:v>52.462188733427382</c:v>
                </c:pt>
                <c:pt idx="1">
                  <c:v>54.182360137221558</c:v>
                </c:pt>
                <c:pt idx="2">
                  <c:v>55.902531541015733</c:v>
                </c:pt>
                <c:pt idx="3">
                  <c:v>57.622702944809916</c:v>
                </c:pt>
                <c:pt idx="4">
                  <c:v>59.342874348604091</c:v>
                </c:pt>
                <c:pt idx="5">
                  <c:v>61.06304575239826</c:v>
                </c:pt>
                <c:pt idx="6">
                  <c:v>62.783217156192435</c:v>
                </c:pt>
                <c:pt idx="7">
                  <c:v>64.503388559986618</c:v>
                </c:pt>
                <c:pt idx="8">
                  <c:v>66.223559963780787</c:v>
                </c:pt>
                <c:pt idx="9">
                  <c:v>67.943731367574969</c:v>
                </c:pt>
                <c:pt idx="10">
                  <c:v>69.663902771369152</c:v>
                </c:pt>
                <c:pt idx="11">
                  <c:v>71.38407417516332</c:v>
                </c:pt>
                <c:pt idx="12">
                  <c:v>73.104245578957503</c:v>
                </c:pt>
                <c:pt idx="13">
                  <c:v>74.824416982751671</c:v>
                </c:pt>
                <c:pt idx="14">
                  <c:v>76.544588386545854</c:v>
                </c:pt>
                <c:pt idx="15">
                  <c:v>78.264759790340037</c:v>
                </c:pt>
                <c:pt idx="16">
                  <c:v>79.984931194134205</c:v>
                </c:pt>
                <c:pt idx="17">
                  <c:v>81.705102597928388</c:v>
                </c:pt>
                <c:pt idx="18">
                  <c:v>83.42527400172257</c:v>
                </c:pt>
                <c:pt idx="19">
                  <c:v>85.145445405516739</c:v>
                </c:pt>
                <c:pt idx="20">
                  <c:v>86.865616809310907</c:v>
                </c:pt>
                <c:pt idx="21">
                  <c:v>88.58578821310509</c:v>
                </c:pt>
                <c:pt idx="22">
                  <c:v>90.305959616899258</c:v>
                </c:pt>
                <c:pt idx="23">
                  <c:v>92.026131020693441</c:v>
                </c:pt>
                <c:pt idx="24">
                  <c:v>93.746302424487624</c:v>
                </c:pt>
                <c:pt idx="25">
                  <c:v>95.466473828281806</c:v>
                </c:pt>
                <c:pt idx="26">
                  <c:v>97.186645232075975</c:v>
                </c:pt>
                <c:pt idx="27">
                  <c:v>98.906816635870157</c:v>
                </c:pt>
              </c:numCache>
            </c:numRef>
          </c:val>
        </c:ser>
        <c:ser>
          <c:idx val="2"/>
          <c:order val="2"/>
          <c:tx>
            <c:v>SPL @ Vp, Imax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'Spec''s'!$T$35:$T$62</c:f>
              <c:numCache>
                <c:formatCode>0</c:formatCod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16.406707120152749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32.813414240305477</c:v>
                </c:pt>
                <c:pt idx="13">
                  <c:v>36.228946570556218</c:v>
                </c:pt>
                <c:pt idx="14">
                  <c:v>39.999999999999943</c:v>
                </c:pt>
                <c:pt idx="15">
                  <c:v>44.163580546952424</c:v>
                </c:pt>
                <c:pt idx="16">
                  <c:v>48.760546168178941</c:v>
                </c:pt>
                <c:pt idx="17">
                  <c:v>53.836007705294158</c:v>
                </c:pt>
                <c:pt idx="18">
                  <c:v>59.439771565477834</c:v>
                </c:pt>
                <c:pt idx="19">
                  <c:v>65.626828480610911</c:v>
                </c:pt>
                <c:pt idx="20">
                  <c:v>72.457893141112393</c:v>
                </c:pt>
                <c:pt idx="21">
                  <c:v>79.999999999999844</c:v>
                </c:pt>
                <c:pt idx="22">
                  <c:v>88.327161093904806</c:v>
                </c:pt>
                <c:pt idx="23">
                  <c:v>97.521092336357825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'Spec''s'!$AE$35:$AE$62</c:f>
              <c:numCache>
                <c:formatCode>0</c:formatCode>
                <c:ptCount val="28"/>
                <c:pt idx="0">
                  <c:v>52.462188733427382</c:v>
                </c:pt>
                <c:pt idx="1">
                  <c:v>54.182360137221558</c:v>
                </c:pt>
                <c:pt idx="2">
                  <c:v>55.902531541015733</c:v>
                </c:pt>
                <c:pt idx="3">
                  <c:v>57.622702944809916</c:v>
                </c:pt>
                <c:pt idx="4">
                  <c:v>59.342874348604091</c:v>
                </c:pt>
                <c:pt idx="5">
                  <c:v>61.06304575239826</c:v>
                </c:pt>
                <c:pt idx="6">
                  <c:v>62.783217156192435</c:v>
                </c:pt>
                <c:pt idx="7">
                  <c:v>64.503388559986618</c:v>
                </c:pt>
                <c:pt idx="8">
                  <c:v>66.223559963780787</c:v>
                </c:pt>
                <c:pt idx="9">
                  <c:v>67.943731367574969</c:v>
                </c:pt>
                <c:pt idx="10">
                  <c:v>69.663902771369152</c:v>
                </c:pt>
                <c:pt idx="11">
                  <c:v>71.38407417516332</c:v>
                </c:pt>
                <c:pt idx="12">
                  <c:v>73.104245578957503</c:v>
                </c:pt>
                <c:pt idx="13">
                  <c:v>74.824416982751671</c:v>
                </c:pt>
                <c:pt idx="14">
                  <c:v>76.544588386545854</c:v>
                </c:pt>
                <c:pt idx="15">
                  <c:v>78.264759790340037</c:v>
                </c:pt>
                <c:pt idx="16">
                  <c:v>79.984931194134205</c:v>
                </c:pt>
                <c:pt idx="17">
                  <c:v>81.705102597928388</c:v>
                </c:pt>
                <c:pt idx="18">
                  <c:v>83.42527400172257</c:v>
                </c:pt>
                <c:pt idx="19">
                  <c:v>85.145445405516739</c:v>
                </c:pt>
                <c:pt idx="20">
                  <c:v>86.865616809310907</c:v>
                </c:pt>
                <c:pt idx="21">
                  <c:v>88.58578821310509</c:v>
                </c:pt>
                <c:pt idx="22">
                  <c:v>90.305959616899258</c:v>
                </c:pt>
                <c:pt idx="23">
                  <c:v>92.026131020693441</c:v>
                </c:pt>
                <c:pt idx="24">
                  <c:v>93.746302424487624</c:v>
                </c:pt>
                <c:pt idx="25">
                  <c:v>95.466473828281806</c:v>
                </c:pt>
                <c:pt idx="26">
                  <c:v>96.360595045912973</c:v>
                </c:pt>
                <c:pt idx="27">
                  <c:v>96.209373838861808</c:v>
                </c:pt>
              </c:numCache>
            </c:numRef>
          </c:val>
        </c:ser>
        <c:marker val="1"/>
        <c:axId val="79328768"/>
        <c:axId val="79330304"/>
      </c:lineChart>
      <c:catAx>
        <c:axId val="793116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Frequency - Hz</a:t>
                </a:r>
              </a:p>
            </c:rich>
          </c:tx>
          <c:layout>
            <c:manualLayout>
              <c:xMode val="edge"/>
              <c:yMode val="edge"/>
              <c:x val="0.42508324084350735"/>
              <c:y val="0.94453507340946163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79314304"/>
        <c:crosses val="autoZero"/>
        <c:auto val="1"/>
        <c:lblAlgn val="ctr"/>
        <c:lblOffset val="100"/>
        <c:tickLblSkip val="1"/>
        <c:tickMarkSkip val="1"/>
      </c:catAx>
      <c:valAx>
        <c:axId val="79314304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Vp Ip/2 power - VA</a:t>
                </a:r>
              </a:p>
            </c:rich>
          </c:tx>
          <c:layout>
            <c:manualLayout>
              <c:xMode val="edge"/>
              <c:yMode val="edge"/>
              <c:x val="1.7758046614872364E-2"/>
              <c:y val="0.40619902120717777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79311616"/>
        <c:crosses val="autoZero"/>
        <c:crossBetween val="between"/>
      </c:valAx>
      <c:catAx>
        <c:axId val="79328768"/>
        <c:scaling>
          <c:orientation val="minMax"/>
        </c:scaling>
        <c:delete val="1"/>
        <c:axPos val="b"/>
        <c:numFmt formatCode="0" sourceLinked="1"/>
        <c:tickLblPos val="none"/>
        <c:crossAx val="79330304"/>
        <c:crosses val="autoZero"/>
        <c:auto val="1"/>
        <c:lblAlgn val="ctr"/>
        <c:lblOffset val="100"/>
      </c:catAx>
      <c:valAx>
        <c:axId val="79330304"/>
        <c:scaling>
          <c:orientation val="minMax"/>
          <c:max val="130"/>
          <c:min val="50"/>
        </c:scaling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SPL - dB</a:t>
                </a:r>
              </a:p>
            </c:rich>
          </c:tx>
          <c:layout>
            <c:manualLayout>
              <c:xMode val="edge"/>
              <c:yMode val="edge"/>
              <c:x val="0.91675915649278616"/>
              <c:y val="0.45840130505709631"/>
            </c:manualLayout>
          </c:layout>
          <c:spPr>
            <a:noFill/>
            <a:ln w="25400">
              <a:noFill/>
            </a:ln>
          </c:spPr>
        </c:title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7932876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318534961154269"/>
          <c:y val="0.23817292006525276"/>
          <c:w val="0.16981132075471697"/>
          <c:h val="0.1141924959216966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Peak current &amp; peak voltage for Xmax</a:t>
            </a:r>
          </a:p>
        </c:rich>
      </c:tx>
      <c:layout>
        <c:manualLayout>
          <c:xMode val="edge"/>
          <c:yMode val="edge"/>
          <c:x val="0.35987590486039311"/>
          <c:y val="2.03389830508474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4808686659772"/>
          <c:y val="0.12711864406779669"/>
          <c:w val="0.81489141675284416"/>
          <c:h val="0.72203389830508513"/>
        </c:manualLayout>
      </c:layout>
      <c:lineChart>
        <c:grouping val="standard"/>
        <c:ser>
          <c:idx val="0"/>
          <c:order val="0"/>
          <c:tx>
            <c:v>Vp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'Spec''s'!$T$35:$T$62</c:f>
              <c:numCache>
                <c:formatCode>0</c:formatCod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16.406707120152749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32.813414240305477</c:v>
                </c:pt>
                <c:pt idx="13">
                  <c:v>36.228946570556218</c:v>
                </c:pt>
                <c:pt idx="14">
                  <c:v>39.999999999999943</c:v>
                </c:pt>
                <c:pt idx="15">
                  <c:v>44.163580546952424</c:v>
                </c:pt>
                <c:pt idx="16">
                  <c:v>48.760546168178941</c:v>
                </c:pt>
                <c:pt idx="17">
                  <c:v>53.836007705294158</c:v>
                </c:pt>
                <c:pt idx="18">
                  <c:v>59.439771565477834</c:v>
                </c:pt>
                <c:pt idx="19">
                  <c:v>65.626828480610911</c:v>
                </c:pt>
                <c:pt idx="20">
                  <c:v>72.457893141112393</c:v>
                </c:pt>
                <c:pt idx="21">
                  <c:v>79.999999999999844</c:v>
                </c:pt>
                <c:pt idx="22">
                  <c:v>88.327161093904806</c:v>
                </c:pt>
                <c:pt idx="23">
                  <c:v>97.521092336357825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'Spec''s'!$N$35:$N$62</c:f>
              <c:numCache>
                <c:formatCode>0.0</c:formatCode>
                <c:ptCount val="28"/>
                <c:pt idx="0">
                  <c:v>8.9172436394442371</c:v>
                </c:pt>
                <c:pt idx="1">
                  <c:v>8.861329485694057</c:v>
                </c:pt>
                <c:pt idx="2">
                  <c:v>8.7937361977831792</c:v>
                </c:pt>
                <c:pt idx="3">
                  <c:v>8.7122012054005378</c:v>
                </c:pt>
                <c:pt idx="4">
                  <c:v>8.6141268979303121</c:v>
                </c:pt>
                <c:pt idx="5">
                  <c:v>8.4966000689934909</c:v>
                </c:pt>
                <c:pt idx="6">
                  <c:v>8.3564740243852214</c:v>
                </c:pt>
                <c:pt idx="7">
                  <c:v>8.1905677111004085</c:v>
                </c:pt>
                <c:pt idx="8">
                  <c:v>7.9960793305403657</c:v>
                </c:pt>
                <c:pt idx="9">
                  <c:v>7.7713898835197561</c:v>
                </c:pt>
                <c:pt idx="10">
                  <c:v>7.5175718231260582</c:v>
                </c:pt>
                <c:pt idx="11">
                  <c:v>7.2411573165656193</c:v>
                </c:pt>
                <c:pt idx="12">
                  <c:v>6.9590757832289496</c:v>
                </c:pt>
                <c:pt idx="13">
                  <c:v>6.7069620754864259</c:v>
                </c:pt>
                <c:pt idx="14">
                  <c:v>6.5512971380625453</c:v>
                </c:pt>
                <c:pt idx="15">
                  <c:v>6.6013579322781961</c:v>
                </c:pt>
                <c:pt idx="16">
                  <c:v>7.0069636647165279</c:v>
                </c:pt>
                <c:pt idx="17">
                  <c:v>7.9268797103793762</c:v>
                </c:pt>
                <c:pt idx="18">
                  <c:v>9.4867282871277663</c:v>
                </c:pt>
                <c:pt idx="19">
                  <c:v>11.772323044400016</c:v>
                </c:pt>
                <c:pt idx="20">
                  <c:v>14.85998571829729</c:v>
                </c:pt>
                <c:pt idx="21">
                  <c:v>18.847779972669045</c:v>
                </c:pt>
                <c:pt idx="22">
                  <c:v>23.872301990891092</c:v>
                </c:pt>
                <c:pt idx="23">
                  <c:v>30.116726903636085</c:v>
                </c:pt>
                <c:pt idx="24">
                  <c:v>37.817115398237931</c:v>
                </c:pt>
                <c:pt idx="25">
                  <c:v>47.270241879535718</c:v>
                </c:pt>
                <c:pt idx="26">
                  <c:v>58.844092298259184</c:v>
                </c:pt>
                <c:pt idx="27">
                  <c:v>72.991535279875222</c:v>
                </c:pt>
              </c:numCache>
            </c:numRef>
          </c:val>
        </c:ser>
        <c:marker val="1"/>
        <c:axId val="80114816"/>
        <c:axId val="80117120"/>
      </c:lineChart>
      <c:lineChart>
        <c:grouping val="standard"/>
        <c:ser>
          <c:idx val="1"/>
          <c:order val="1"/>
          <c:tx>
            <c:v>Ip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'Spec''s'!$T$35:$T$62</c:f>
              <c:numCache>
                <c:formatCode>0</c:formatCod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16.406707120152749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32.813414240305477</c:v>
                </c:pt>
                <c:pt idx="13">
                  <c:v>36.228946570556218</c:v>
                </c:pt>
                <c:pt idx="14">
                  <c:v>39.999999999999943</c:v>
                </c:pt>
                <c:pt idx="15">
                  <c:v>44.163580546952424</c:v>
                </c:pt>
                <c:pt idx="16">
                  <c:v>48.760546168178941</c:v>
                </c:pt>
                <c:pt idx="17">
                  <c:v>53.836007705294158</c:v>
                </c:pt>
                <c:pt idx="18">
                  <c:v>59.439771565477834</c:v>
                </c:pt>
                <c:pt idx="19">
                  <c:v>65.626828480610911</c:v>
                </c:pt>
                <c:pt idx="20">
                  <c:v>72.457893141112393</c:v>
                </c:pt>
                <c:pt idx="21">
                  <c:v>79.999999999999844</c:v>
                </c:pt>
                <c:pt idx="22">
                  <c:v>88.327161093904806</c:v>
                </c:pt>
                <c:pt idx="23">
                  <c:v>97.521092336357825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'Spec''s'!$O$35:$O$62</c:f>
              <c:numCache>
                <c:formatCode>0.0</c:formatCode>
                <c:ptCount val="28"/>
                <c:pt idx="0">
                  <c:v>1.464037351772316</c:v>
                </c:pt>
                <c:pt idx="1">
                  <c:v>1.4497114019333337</c:v>
                </c:pt>
                <c:pt idx="2">
                  <c:v>1.4322659023376934</c:v>
                </c:pt>
                <c:pt idx="3">
                  <c:v>1.4110272940323461</c:v>
                </c:pt>
                <c:pt idx="4">
                  <c:v>1.3851799693737565</c:v>
                </c:pt>
                <c:pt idx="5">
                  <c:v>1.3537384916596262</c:v>
                </c:pt>
                <c:pt idx="6">
                  <c:v>1.3155159402097716</c:v>
                </c:pt>
                <c:pt idx="7">
                  <c:v>1.2690891220597063</c:v>
                </c:pt>
                <c:pt idx="8">
                  <c:v>1.2127627406844406</c:v>
                </c:pt>
                <c:pt idx="9">
                  <c:v>1.1445370496731408</c:v>
                </c:pt>
                <c:pt idx="10">
                  <c:v>1.0620874430252494</c:v>
                </c:pt>
                <c:pt idx="11">
                  <c:v>0.9627693547898547</c:v>
                </c:pt>
                <c:pt idx="12">
                  <c:v>0.84366470446231079</c:v>
                </c:pt>
                <c:pt idx="13">
                  <c:v>0.70169250697067165</c:v>
                </c:pt>
                <c:pt idx="14">
                  <c:v>0.53401923968208209</c:v>
                </c:pt>
                <c:pt idx="15">
                  <c:v>0.3420063069639005</c:v>
                </c:pt>
                <c:pt idx="16">
                  <c:v>0.18747561427526849</c:v>
                </c:pt>
                <c:pt idx="17">
                  <c:v>0.36033063792870101</c:v>
                </c:pt>
                <c:pt idx="18">
                  <c:v>0.74782530393180247</c:v>
                </c:pt>
                <c:pt idx="19">
                  <c:v>1.2519522241186241</c:v>
                </c:pt>
                <c:pt idx="20">
                  <c:v>1.8743397974336025</c:v>
                </c:pt>
                <c:pt idx="21">
                  <c:v>2.6326172590401078</c:v>
                </c:pt>
                <c:pt idx="22">
                  <c:v>3.5528270491273317</c:v>
                </c:pt>
                <c:pt idx="23">
                  <c:v>4.6682053075166641</c:v>
                </c:pt>
                <c:pt idx="24">
                  <c:v>6.0193086075547644</c:v>
                </c:pt>
                <c:pt idx="25">
                  <c:v>7.6547971817594718</c:v>
                </c:pt>
                <c:pt idx="26">
                  <c:v>9.6325727085795769</c:v>
                </c:pt>
                <c:pt idx="27">
                  <c:v>12.021107799452682</c:v>
                </c:pt>
              </c:numCache>
            </c:numRef>
          </c:val>
        </c:ser>
        <c:marker val="1"/>
        <c:axId val="80123392"/>
        <c:axId val="80124928"/>
      </c:lineChart>
      <c:catAx>
        <c:axId val="801148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Frequency - Hz</a:t>
                </a:r>
              </a:p>
            </c:rich>
          </c:tx>
          <c:layout>
            <c:manualLayout>
              <c:xMode val="edge"/>
              <c:yMode val="edge"/>
              <c:x val="0.46225439503619425"/>
              <c:y val="0.90508474576271136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80117120"/>
        <c:crosses val="autoZero"/>
        <c:auto val="1"/>
        <c:lblAlgn val="ctr"/>
        <c:lblOffset val="100"/>
        <c:tickLblSkip val="1"/>
        <c:tickMarkSkip val="1"/>
      </c:catAx>
      <c:valAx>
        <c:axId val="8011712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Vp - V</a:t>
                </a:r>
              </a:p>
            </c:rich>
          </c:tx>
          <c:layout>
            <c:manualLayout>
              <c:xMode val="edge"/>
              <c:yMode val="edge"/>
              <c:x val="3.619441571871769E-2"/>
              <c:y val="0.45254237288135596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80114816"/>
        <c:crosses val="autoZero"/>
        <c:crossBetween val="between"/>
      </c:valAx>
      <c:catAx>
        <c:axId val="80123392"/>
        <c:scaling>
          <c:orientation val="minMax"/>
        </c:scaling>
        <c:delete val="1"/>
        <c:axPos val="b"/>
        <c:numFmt formatCode="0" sourceLinked="1"/>
        <c:tickLblPos val="none"/>
        <c:crossAx val="80124928"/>
        <c:crosses val="autoZero"/>
        <c:auto val="1"/>
        <c:lblAlgn val="ctr"/>
        <c:lblOffset val="100"/>
      </c:catAx>
      <c:valAx>
        <c:axId val="80124928"/>
        <c:scaling>
          <c:orientation val="minMax"/>
          <c:max val="10"/>
          <c:min val="0"/>
        </c:scaling>
        <c:axPos val="r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Ip - A</a:t>
                </a:r>
              </a:p>
            </c:rich>
          </c:tx>
          <c:layout>
            <c:manualLayout>
              <c:xMode val="edge"/>
              <c:yMode val="edge"/>
              <c:x val="0.95863495346432304"/>
              <c:y val="0.457627118644067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8012339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889348500517077"/>
          <c:y val="0.2389830508474578"/>
          <c:w val="5.894519131334023E-2"/>
          <c:h val="7.966101694915256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Power &amp; SPL for Xmax</a:t>
            </a:r>
          </a:p>
        </c:rich>
      </c:tx>
      <c:layout>
        <c:manualLayout>
          <c:xMode val="edge"/>
          <c:yMode val="edge"/>
          <c:x val="0.41571871768355756"/>
          <c:y val="2.03389830508474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032057911065151E-2"/>
          <c:y val="0.12372881355932204"/>
          <c:w val="0.86349534643226478"/>
          <c:h val="0.76101694915254237"/>
        </c:manualLayout>
      </c:layout>
      <c:lineChart>
        <c:grouping val="standard"/>
        <c:ser>
          <c:idx val="0"/>
          <c:order val="0"/>
          <c:tx>
            <c:v>W (Ip through 8ohm)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'Spec''s'!$T$35:$T$62</c:f>
              <c:numCache>
                <c:formatCode>0</c:formatCod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16.406707120152749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32.813414240305477</c:v>
                </c:pt>
                <c:pt idx="13">
                  <c:v>36.228946570556218</c:v>
                </c:pt>
                <c:pt idx="14">
                  <c:v>39.999999999999943</c:v>
                </c:pt>
                <c:pt idx="15">
                  <c:v>44.163580546952424</c:v>
                </c:pt>
                <c:pt idx="16">
                  <c:v>48.760546168178941</c:v>
                </c:pt>
                <c:pt idx="17">
                  <c:v>53.836007705294158</c:v>
                </c:pt>
                <c:pt idx="18">
                  <c:v>59.439771565477834</c:v>
                </c:pt>
                <c:pt idx="19">
                  <c:v>65.626828480610911</c:v>
                </c:pt>
                <c:pt idx="20">
                  <c:v>72.457893141112393</c:v>
                </c:pt>
                <c:pt idx="21">
                  <c:v>79.999999999999844</c:v>
                </c:pt>
                <c:pt idx="22">
                  <c:v>88.327161093904806</c:v>
                </c:pt>
                <c:pt idx="23">
                  <c:v>97.521092336357825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'Spec''s'!$Q$35:$Q$62</c:f>
              <c:numCache>
                <c:formatCode>0</c:formatCode>
                <c:ptCount val="28"/>
                <c:pt idx="0">
                  <c:v>8.5736214695379847</c:v>
                </c:pt>
                <c:pt idx="1">
                  <c:v>8.406652595582047</c:v>
                </c:pt>
                <c:pt idx="2">
                  <c:v>8.2055424599968276</c:v>
                </c:pt>
                <c:pt idx="3">
                  <c:v>7.9639920980169787</c:v>
                </c:pt>
                <c:pt idx="4">
                  <c:v>7.6748941902171248</c:v>
                </c:pt>
                <c:pt idx="5">
                  <c:v>7.33043161520352</c:v>
                </c:pt>
                <c:pt idx="6">
                  <c:v>6.9223287557839974</c:v>
                </c:pt>
                <c:pt idx="7">
                  <c:v>6.4423487989211043</c:v>
                </c:pt>
                <c:pt idx="8">
                  <c:v>5.8831738607697428</c:v>
                </c:pt>
                <c:pt idx="9">
                  <c:v>5.2398602322979908</c:v>
                </c:pt>
                <c:pt idx="10">
                  <c:v>4.5121189465276492</c:v>
                </c:pt>
                <c:pt idx="11">
                  <c:v>3.7076993220898924</c:v>
                </c:pt>
                <c:pt idx="12">
                  <c:v>2.847080534221913</c:v>
                </c:pt>
                <c:pt idx="13">
                  <c:v>1.9694894973551442</c:v>
                </c:pt>
                <c:pt idx="14">
                  <c:v>1.1407061934025162</c:v>
                </c:pt>
                <c:pt idx="15">
                  <c:v>0.46787325601234292</c:v>
                </c:pt>
                <c:pt idx="16">
                  <c:v>0.140588423791557</c:v>
                </c:pt>
                <c:pt idx="17">
                  <c:v>0.51935267452041856</c:v>
                </c:pt>
                <c:pt idx="18">
                  <c:v>2.236970740802771</c:v>
                </c:pt>
                <c:pt idx="19">
                  <c:v>6.2695374859022781</c:v>
                </c:pt>
                <c:pt idx="20">
                  <c:v>14.052598704973752</c:v>
                </c:pt>
                <c:pt idx="21">
                  <c:v>27.7226945303834</c:v>
                </c:pt>
                <c:pt idx="22">
                  <c:v>50.490320164043297</c:v>
                </c:pt>
                <c:pt idx="23">
                  <c:v>87.168563172507007</c:v>
                </c:pt>
                <c:pt idx="24">
                  <c:v>144.9283044519315</c:v>
                </c:pt>
                <c:pt idx="25">
                  <c:v>234.38367957549102</c:v>
                </c:pt>
                <c:pt idx="26">
                  <c:v>371.14582794428833</c:v>
                </c:pt>
                <c:pt idx="27">
                  <c:v>578.02813090424843</c:v>
                </c:pt>
              </c:numCache>
            </c:numRef>
          </c:val>
        </c:ser>
        <c:ser>
          <c:idx val="1"/>
          <c:order val="1"/>
          <c:tx>
            <c:v>W (Vp across 8ohm)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'Spec''s'!$T$35:$T$62</c:f>
              <c:numCache>
                <c:formatCode>0</c:formatCod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16.406707120152749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32.813414240305477</c:v>
                </c:pt>
                <c:pt idx="13">
                  <c:v>36.228946570556218</c:v>
                </c:pt>
                <c:pt idx="14">
                  <c:v>39.999999999999943</c:v>
                </c:pt>
                <c:pt idx="15">
                  <c:v>44.163580546952424</c:v>
                </c:pt>
                <c:pt idx="16">
                  <c:v>48.760546168178941</c:v>
                </c:pt>
                <c:pt idx="17">
                  <c:v>53.836007705294158</c:v>
                </c:pt>
                <c:pt idx="18">
                  <c:v>59.439771565477834</c:v>
                </c:pt>
                <c:pt idx="19">
                  <c:v>65.626828480610911</c:v>
                </c:pt>
                <c:pt idx="20">
                  <c:v>72.457893141112393</c:v>
                </c:pt>
                <c:pt idx="21">
                  <c:v>79.999999999999844</c:v>
                </c:pt>
                <c:pt idx="22">
                  <c:v>88.327161093904806</c:v>
                </c:pt>
                <c:pt idx="23">
                  <c:v>97.521092336357825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'Spec''s'!$R$35:$R$62</c:f>
              <c:numCache>
                <c:formatCode>0</c:formatCode>
                <c:ptCount val="28"/>
                <c:pt idx="0">
                  <c:v>4.9698271328255439</c:v>
                </c:pt>
                <c:pt idx="1">
                  <c:v>4.9076975158769311</c:v>
                </c:pt>
                <c:pt idx="2">
                  <c:v>4.8331122697626352</c:v>
                </c:pt>
                <c:pt idx="3">
                  <c:v>4.7439031152114115</c:v>
                </c:pt>
                <c:pt idx="4">
                  <c:v>4.6376988883529062</c:v>
                </c:pt>
                <c:pt idx="5">
                  <c:v>4.5120132957762618</c:v>
                </c:pt>
                <c:pt idx="6">
                  <c:v>4.3644161325140587</c:v>
                </c:pt>
                <c:pt idx="7">
                  <c:v>4.1928374643825368</c:v>
                </c:pt>
                <c:pt idx="8">
                  <c:v>3.996080291268429</c:v>
                </c:pt>
                <c:pt idx="9">
                  <c:v>3.7746562951045757</c:v>
                </c:pt>
                <c:pt idx="10">
                  <c:v>3.5321178822411778</c:v>
                </c:pt>
                <c:pt idx="11">
                  <c:v>3.2771474552032376</c:v>
                </c:pt>
                <c:pt idx="12">
                  <c:v>3.0267959847952262</c:v>
                </c:pt>
                <c:pt idx="13">
                  <c:v>2.8114587676258243</c:v>
                </c:pt>
                <c:pt idx="14">
                  <c:v>2.6824683869491559</c:v>
                </c:pt>
                <c:pt idx="15">
                  <c:v>2.7236204093782663</c:v>
                </c:pt>
                <c:pt idx="16">
                  <c:v>3.0685962374161044</c:v>
                </c:pt>
                <c:pt idx="17">
                  <c:v>3.9272138714265141</c:v>
                </c:pt>
                <c:pt idx="18">
                  <c:v>5.6248758496118825</c:v>
                </c:pt>
                <c:pt idx="19">
                  <c:v>8.6617243663569798</c:v>
                </c:pt>
                <c:pt idx="20">
                  <c:v>13.801198471749965</c:v>
                </c:pt>
                <c:pt idx="21">
                  <c:v>22.20242561863402</c:v>
                </c:pt>
                <c:pt idx="22">
                  <c:v>35.617925146518928</c:v>
                </c:pt>
                <c:pt idx="23">
                  <c:v>56.68857746176235</c:v>
                </c:pt>
                <c:pt idx="24">
                  <c:v>89.383388565227776</c:v>
                </c:pt>
                <c:pt idx="25">
                  <c:v>139.65473545936328</c:v>
                </c:pt>
                <c:pt idx="26">
                  <c:v>216.41419990037787</c:v>
                </c:pt>
                <c:pt idx="27">
                  <c:v>332.98526390707934</c:v>
                </c:pt>
              </c:numCache>
            </c:numRef>
          </c:val>
        </c:ser>
        <c:ser>
          <c:idx val="3"/>
          <c:order val="3"/>
          <c:tx>
            <c:v>W (Vp Ip/2)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'Spec''s'!$P$35:$P$62</c:f>
              <c:numCache>
                <c:formatCode>0</c:formatCode>
                <c:ptCount val="28"/>
                <c:pt idx="0">
                  <c:v>6.5275888815002352</c:v>
                </c:pt>
                <c:pt idx="1">
                  <c:v>6.4231851958493591</c:v>
                </c:pt>
                <c:pt idx="2">
                  <c:v>6.2974842551187811</c:v>
                </c:pt>
                <c:pt idx="3">
                  <c:v>6.1465768459608325</c:v>
                </c:pt>
                <c:pt idx="4">
                  <c:v>5.9660580163283807</c:v>
                </c:pt>
                <c:pt idx="5">
                  <c:v>5.7510872808171625</c:v>
                </c:pt>
                <c:pt idx="6">
                  <c:v>5.4965373915138294</c:v>
                </c:pt>
                <c:pt idx="7">
                  <c:v>5.1972801928254979</c:v>
                </c:pt>
                <c:pt idx="8">
                  <c:v>4.8486735418181706</c:v>
                </c:pt>
                <c:pt idx="9">
                  <c:v>4.4473218245716977</c:v>
                </c:pt>
                <c:pt idx="10">
                  <c:v>3.9921593176913088</c:v>
                </c:pt>
                <c:pt idx="11">
                  <c:v>3.4857821788008585</c:v>
                </c:pt>
                <c:pt idx="12">
                  <c:v>2.9355633069943377</c:v>
                </c:pt>
                <c:pt idx="13">
                  <c:v>2.3531125164526445</c:v>
                </c:pt>
                <c:pt idx="14">
                  <c:v>1.7492593582997804</c:v>
                </c:pt>
                <c:pt idx="15">
                  <c:v>1.1288530236826582</c:v>
                </c:pt>
                <c:pt idx="16">
                  <c:v>0.65681740862360871</c:v>
                </c:pt>
                <c:pt idx="17">
                  <c:v>1.4281488114125387</c:v>
                </c:pt>
                <c:pt idx="18">
                  <c:v>3.5472077323198747</c:v>
                </c:pt>
                <c:pt idx="19">
                  <c:v>7.3691930092397655</c:v>
                </c:pt>
                <c:pt idx="20">
                  <c:v>13.926331310549784</c:v>
                </c:pt>
                <c:pt idx="21">
                  <c:v>24.809495425319508</c:v>
                </c:pt>
                <c:pt idx="22">
                  <c:v>42.407080119087063</c:v>
                </c:pt>
                <c:pt idx="23">
                  <c:v>70.295532188291943</c:v>
                </c:pt>
                <c:pt idx="24">
                  <c:v>113.8164441147527</c:v>
                </c:pt>
                <c:pt idx="25">
                  <c:v>180.92205716027928</c:v>
                </c:pt>
                <c:pt idx="26">
                  <c:v>283.40999876667456</c:v>
                </c:pt>
                <c:pt idx="27">
                  <c:v>438.71955702346685</c:v>
                </c:pt>
              </c:numCache>
            </c:numRef>
          </c:val>
        </c:ser>
        <c:marker val="1"/>
        <c:axId val="80153216"/>
        <c:axId val="80176256"/>
      </c:lineChart>
      <c:lineChart>
        <c:grouping val="standard"/>
        <c:ser>
          <c:idx val="2"/>
          <c:order val="2"/>
          <c:tx>
            <c:v>dB SPL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'Spec''s'!$T$35:$T$62</c:f>
              <c:numCache>
                <c:formatCode>0</c:formatCod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16.406707120152749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32.813414240305477</c:v>
                </c:pt>
                <c:pt idx="13">
                  <c:v>36.228946570556218</c:v>
                </c:pt>
                <c:pt idx="14">
                  <c:v>39.999999999999943</c:v>
                </c:pt>
                <c:pt idx="15">
                  <c:v>44.163580546952424</c:v>
                </c:pt>
                <c:pt idx="16">
                  <c:v>48.760546168178941</c:v>
                </c:pt>
                <c:pt idx="17">
                  <c:v>53.836007705294158</c:v>
                </c:pt>
                <c:pt idx="18">
                  <c:v>59.439771565477834</c:v>
                </c:pt>
                <c:pt idx="19">
                  <c:v>65.626828480610911</c:v>
                </c:pt>
                <c:pt idx="20">
                  <c:v>72.457893141112393</c:v>
                </c:pt>
                <c:pt idx="21">
                  <c:v>79.999999999999844</c:v>
                </c:pt>
                <c:pt idx="22">
                  <c:v>88.327161093904806</c:v>
                </c:pt>
                <c:pt idx="23">
                  <c:v>97.521092336357825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'Spec''s'!$S$35:$S$62</c:f>
              <c:numCache>
                <c:formatCode>0</c:formatCode>
                <c:ptCount val="28"/>
                <c:pt idx="0">
                  <c:v>52.462188733427382</c:v>
                </c:pt>
                <c:pt idx="1">
                  <c:v>54.182360137221558</c:v>
                </c:pt>
                <c:pt idx="2">
                  <c:v>55.902531541015733</c:v>
                </c:pt>
                <c:pt idx="3">
                  <c:v>57.622702944809916</c:v>
                </c:pt>
                <c:pt idx="4">
                  <c:v>59.342874348604091</c:v>
                </c:pt>
                <c:pt idx="5">
                  <c:v>61.06304575239826</c:v>
                </c:pt>
                <c:pt idx="6">
                  <c:v>62.783217156192435</c:v>
                </c:pt>
                <c:pt idx="7">
                  <c:v>64.503388559986618</c:v>
                </c:pt>
                <c:pt idx="8">
                  <c:v>66.223559963780787</c:v>
                </c:pt>
                <c:pt idx="9">
                  <c:v>67.943731367574969</c:v>
                </c:pt>
                <c:pt idx="10">
                  <c:v>69.663902771369152</c:v>
                </c:pt>
                <c:pt idx="11">
                  <c:v>71.38407417516332</c:v>
                </c:pt>
                <c:pt idx="12">
                  <c:v>73.104245578957503</c:v>
                </c:pt>
                <c:pt idx="13">
                  <c:v>74.824416982751671</c:v>
                </c:pt>
                <c:pt idx="14">
                  <c:v>76.544588386545854</c:v>
                </c:pt>
                <c:pt idx="15">
                  <c:v>78.264759790340037</c:v>
                </c:pt>
                <c:pt idx="16">
                  <c:v>79.984931194134205</c:v>
                </c:pt>
                <c:pt idx="17">
                  <c:v>81.705102597928388</c:v>
                </c:pt>
                <c:pt idx="18">
                  <c:v>83.42527400172257</c:v>
                </c:pt>
                <c:pt idx="19">
                  <c:v>85.145445405516739</c:v>
                </c:pt>
                <c:pt idx="20">
                  <c:v>86.865616809310907</c:v>
                </c:pt>
                <c:pt idx="21">
                  <c:v>88.58578821310509</c:v>
                </c:pt>
                <c:pt idx="22">
                  <c:v>90.305959616899258</c:v>
                </c:pt>
                <c:pt idx="23">
                  <c:v>92.026131020693441</c:v>
                </c:pt>
                <c:pt idx="24">
                  <c:v>93.746302424487624</c:v>
                </c:pt>
                <c:pt idx="25">
                  <c:v>95.466473828281806</c:v>
                </c:pt>
                <c:pt idx="26">
                  <c:v>97.186645232075975</c:v>
                </c:pt>
                <c:pt idx="27">
                  <c:v>98.906816635870157</c:v>
                </c:pt>
              </c:numCache>
            </c:numRef>
          </c:val>
        </c:ser>
        <c:marker val="1"/>
        <c:axId val="80178176"/>
        <c:axId val="80184064"/>
      </c:lineChart>
      <c:catAx>
        <c:axId val="801532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Frequency - Hz</a:t>
                </a:r>
              </a:p>
            </c:rich>
          </c:tx>
          <c:layout>
            <c:manualLayout>
              <c:xMode val="edge"/>
              <c:yMode val="edge"/>
              <c:x val="0.45087900723888341"/>
              <c:y val="0.9406779661016953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80176256"/>
        <c:crosses val="autoZero"/>
        <c:auto val="1"/>
        <c:lblAlgn val="ctr"/>
        <c:lblOffset val="100"/>
        <c:tickLblSkip val="1"/>
        <c:tickMarkSkip val="1"/>
      </c:catAx>
      <c:valAx>
        <c:axId val="80176256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Power - W</a:t>
                </a:r>
              </a:p>
            </c:rich>
          </c:tx>
          <c:layout>
            <c:manualLayout>
              <c:xMode val="edge"/>
              <c:yMode val="edge"/>
              <c:x val="1.2409513960703202E-2"/>
              <c:y val="0.44406779661016949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80153216"/>
        <c:crosses val="autoZero"/>
        <c:crossBetween val="between"/>
      </c:valAx>
      <c:catAx>
        <c:axId val="80178176"/>
        <c:scaling>
          <c:orientation val="minMax"/>
        </c:scaling>
        <c:delete val="1"/>
        <c:axPos val="b"/>
        <c:numFmt formatCode="0" sourceLinked="1"/>
        <c:tickLblPos val="none"/>
        <c:crossAx val="80184064"/>
        <c:crosses val="autoZero"/>
        <c:auto val="1"/>
        <c:lblAlgn val="ctr"/>
        <c:lblOffset val="100"/>
      </c:catAx>
      <c:valAx>
        <c:axId val="80184064"/>
        <c:scaling>
          <c:orientation val="minMax"/>
          <c:max val="140"/>
          <c:min val="40"/>
        </c:scaling>
        <c:axPos val="r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SPL - dB</a:t>
                </a:r>
              </a:p>
            </c:rich>
          </c:tx>
          <c:layout>
            <c:manualLayout>
              <c:xMode val="edge"/>
              <c:yMode val="edge"/>
              <c:x val="0.96587383660806692"/>
              <c:y val="0.45932203389830523"/>
            </c:manualLayout>
          </c:layout>
          <c:spPr>
            <a:noFill/>
            <a:ln w="25400">
              <a:noFill/>
            </a:ln>
          </c:spPr>
        </c:title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8017817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855222337125128"/>
          <c:y val="0.17457627118644078"/>
          <c:w val="0.24922440537745622"/>
          <c:h val="0.1237288135593220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SPL (free-space) for 2.83 Vrms across terminal impedance</a:t>
            </a:r>
          </a:p>
        </c:rich>
      </c:tx>
      <c:layout>
        <c:manualLayout>
          <c:xMode val="edge"/>
          <c:yMode val="edge"/>
          <c:x val="0.28748707342295787"/>
          <c:y val="2.03389830508474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3081695966907964E-2"/>
          <c:y val="0.12711864406779669"/>
          <c:w val="0.81282316442605962"/>
          <c:h val="0.75762711864406829"/>
        </c:manualLayout>
      </c:layout>
      <c:lineChart>
        <c:grouping val="standard"/>
        <c:ser>
          <c:idx val="0"/>
          <c:order val="0"/>
          <c:tx>
            <c:v>SPL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'Spec''s'!$T$35:$T$62</c:f>
              <c:numCache>
                <c:formatCode>0</c:formatCod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16.406707120152749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32.813414240305477</c:v>
                </c:pt>
                <c:pt idx="13">
                  <c:v>36.228946570556218</c:v>
                </c:pt>
                <c:pt idx="14">
                  <c:v>39.999999999999943</c:v>
                </c:pt>
                <c:pt idx="15">
                  <c:v>44.163580546952424</c:v>
                </c:pt>
                <c:pt idx="16">
                  <c:v>48.760546168178941</c:v>
                </c:pt>
                <c:pt idx="17">
                  <c:v>53.836007705294158</c:v>
                </c:pt>
                <c:pt idx="18">
                  <c:v>59.439771565477834</c:v>
                </c:pt>
                <c:pt idx="19">
                  <c:v>65.626828480610911</c:v>
                </c:pt>
                <c:pt idx="20">
                  <c:v>72.457893141112393</c:v>
                </c:pt>
                <c:pt idx="21">
                  <c:v>79.999999999999844</c:v>
                </c:pt>
                <c:pt idx="22">
                  <c:v>88.327161093904806</c:v>
                </c:pt>
                <c:pt idx="23">
                  <c:v>97.521092336357825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'Spec''s'!$U$35:$U$62</c:f>
              <c:numCache>
                <c:formatCode>0</c:formatCode>
                <c:ptCount val="28"/>
                <c:pt idx="0">
                  <c:v>45.477687042616417</c:v>
                </c:pt>
                <c:pt idx="1">
                  <c:v>47.252493401256601</c:v>
                </c:pt>
                <c:pt idx="2">
                  <c:v>49.039173841968172</c:v>
                </c:pt>
                <c:pt idx="3">
                  <c:v>50.840255973388935</c:v>
                </c:pt>
                <c:pt idx="4">
                  <c:v>52.658760007629269</c:v>
                </c:pt>
                <c:pt idx="5">
                  <c:v>54.498253182087012</c:v>
                </c:pt>
                <c:pt idx="6">
                  <c:v>56.362866769025509</c:v>
                </c:pt>
                <c:pt idx="7">
                  <c:v>58.257219424260889</c:v>
                </c:pt>
                <c:pt idx="8">
                  <c:v>60.186129043752715</c:v>
                </c:pt>
                <c:pt idx="9">
                  <c:v>62.153868377897986</c:v>
                </c:pt>
                <c:pt idx="10">
                  <c:v>64.1624620138425</c:v>
                </c:pt>
                <c:pt idx="11">
                  <c:v>66.208025483236838</c:v>
                </c:pt>
                <c:pt idx="12">
                  <c:v>68.273325224178279</c:v>
                </c:pt>
                <c:pt idx="13">
                  <c:v>70.314010933751632</c:v>
                </c:pt>
                <c:pt idx="14">
                  <c:v>72.238153398763728</c:v>
                </c:pt>
                <c:pt idx="15">
                  <c:v>73.892205128445852</c:v>
                </c:pt>
                <c:pt idx="16">
                  <c:v>75.094444849254771</c:v>
                </c:pt>
                <c:pt idx="17">
                  <c:v>75.743168204175419</c:v>
                </c:pt>
                <c:pt idx="18">
                  <c:v>75.903055725897843</c:v>
                </c:pt>
                <c:pt idx="19">
                  <c:v>75.748312947729275</c:v>
                </c:pt>
                <c:pt idx="20">
                  <c:v>75.445359932283509</c:v>
                </c:pt>
                <c:pt idx="21">
                  <c:v>75.100695112280604</c:v>
                </c:pt>
                <c:pt idx="22">
                  <c:v>74.768184585160583</c:v>
                </c:pt>
                <c:pt idx="23">
                  <c:v>74.470086567930508</c:v>
                </c:pt>
                <c:pt idx="24">
                  <c:v>74.21264541212885</c:v>
                </c:pt>
                <c:pt idx="25">
                  <c:v>73.994828300427088</c:v>
                </c:pt>
                <c:pt idx="26">
                  <c:v>73.81269883544627</c:v>
                </c:pt>
                <c:pt idx="27">
                  <c:v>73.661477628395119</c:v>
                </c:pt>
              </c:numCache>
            </c:numRef>
          </c:val>
        </c:ser>
        <c:marker val="1"/>
        <c:axId val="80267904"/>
        <c:axId val="80278656"/>
      </c:lineChart>
      <c:lineChart>
        <c:grouping val="standard"/>
        <c:ser>
          <c:idx val="1"/>
          <c:order val="1"/>
          <c:tx>
            <c:v>Impedance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'Spec''s'!$J$35:$J$62</c:f>
              <c:numCache>
                <c:formatCode>0.0</c:formatCode>
                <c:ptCount val="28"/>
                <c:pt idx="0">
                  <c:v>6.0908580157803431</c:v>
                </c:pt>
                <c:pt idx="1">
                  <c:v>6.11247830007862</c:v>
                </c:pt>
                <c:pt idx="2">
                  <c:v>6.13973716991402</c:v>
                </c:pt>
                <c:pt idx="3">
                  <c:v>6.1743675988742579</c:v>
                </c:pt>
                <c:pt idx="4">
                  <c:v>6.2187781287544759</c:v>
                </c:pt>
                <c:pt idx="5">
                  <c:v>6.2763968974369764</c:v>
                </c:pt>
                <c:pt idx="6">
                  <c:v>6.3522407969094639</c:v>
                </c:pt>
                <c:pt idx="7">
                  <c:v>6.4538948200952833</c:v>
                </c:pt>
                <c:pt idx="8">
                  <c:v>6.5932758834820895</c:v>
                </c:pt>
                <c:pt idx="9">
                  <c:v>6.7899854231360406</c:v>
                </c:pt>
                <c:pt idx="10">
                  <c:v>7.0781100675788142</c:v>
                </c:pt>
                <c:pt idx="11">
                  <c:v>7.5211755344520279</c:v>
                </c:pt>
                <c:pt idx="12">
                  <c:v>8.2486273829176575</c:v>
                </c:pt>
                <c:pt idx="13">
                  <c:v>9.5582637820112186</c:v>
                </c:pt>
                <c:pt idx="14">
                  <c:v>12.267904695648665</c:v>
                </c:pt>
                <c:pt idx="15">
                  <c:v>19.301860222639064</c:v>
                </c:pt>
                <c:pt idx="16">
                  <c:v>37.375333809698986</c:v>
                </c:pt>
                <c:pt idx="17">
                  <c:v>21.998905660494724</c:v>
                </c:pt>
                <c:pt idx="18">
                  <c:v>12.685754597029394</c:v>
                </c:pt>
                <c:pt idx="19">
                  <c:v>9.4031727550048849</c:v>
                </c:pt>
                <c:pt idx="20">
                  <c:v>7.9281172702217555</c:v>
                </c:pt>
                <c:pt idx="21">
                  <c:v>7.1593316149348771</c:v>
                </c:pt>
                <c:pt idx="22">
                  <c:v>6.7192412298129627</c:v>
                </c:pt>
                <c:pt idx="23">
                  <c:v>6.4514572345699213</c:v>
                </c:pt>
                <c:pt idx="24">
                  <c:v>6.2826344126589735</c:v>
                </c:pt>
                <c:pt idx="25">
                  <c:v>6.1752441974785999</c:v>
                </c:pt>
                <c:pt idx="26">
                  <c:v>6.1088656248447215</c:v>
                </c:pt>
                <c:pt idx="27">
                  <c:v>6.071947485838078</c:v>
                </c:pt>
              </c:numCache>
            </c:numRef>
          </c:val>
        </c:ser>
        <c:marker val="1"/>
        <c:axId val="80280576"/>
        <c:axId val="80294656"/>
      </c:lineChart>
      <c:catAx>
        <c:axId val="802679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Frequency - Hz</a:t>
                </a:r>
              </a:p>
            </c:rich>
          </c:tx>
          <c:layout>
            <c:manualLayout>
              <c:xMode val="edge"/>
              <c:yMode val="edge"/>
              <c:x val="0.41882109617373331"/>
              <c:y val="0.9406779661016953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80278656"/>
        <c:crosses val="autoZero"/>
        <c:auto val="1"/>
        <c:lblAlgn val="ctr"/>
        <c:lblOffset val="100"/>
        <c:tickLblSkip val="1"/>
        <c:tickMarkSkip val="1"/>
      </c:catAx>
      <c:valAx>
        <c:axId val="80278656"/>
        <c:scaling>
          <c:orientation val="minMax"/>
          <c:max val="96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SPL - dB</a:t>
                </a:r>
              </a:p>
            </c:rich>
          </c:tx>
          <c:layout>
            <c:manualLayout>
              <c:xMode val="edge"/>
              <c:yMode val="edge"/>
              <c:x val="1.2409513960703202E-2"/>
              <c:y val="0.45593220338983076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80267904"/>
        <c:crosses val="autoZero"/>
        <c:crossBetween val="between"/>
        <c:majorUnit val="3"/>
      </c:valAx>
      <c:catAx>
        <c:axId val="80280576"/>
        <c:scaling>
          <c:orientation val="minMax"/>
        </c:scaling>
        <c:delete val="1"/>
        <c:axPos val="b"/>
        <c:tickLblPos val="none"/>
        <c:crossAx val="80294656"/>
        <c:crosses val="autoZero"/>
        <c:auto val="1"/>
        <c:lblAlgn val="ctr"/>
        <c:lblOffset val="100"/>
      </c:catAx>
      <c:valAx>
        <c:axId val="80294656"/>
        <c:scaling>
          <c:orientation val="minMax"/>
          <c:max val="24"/>
          <c:min val="0"/>
        </c:scaling>
        <c:axPos val="r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Impedance - ohm</a:t>
                </a:r>
              </a:p>
            </c:rich>
          </c:tx>
          <c:layout>
            <c:manualLayout>
              <c:xMode val="edge"/>
              <c:yMode val="edge"/>
              <c:x val="0.91416752843846949"/>
              <c:y val="0.40847457627118661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80280576"/>
        <c:crosses val="max"/>
        <c:crossBetween val="between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5139607032057927E-2"/>
          <c:y val="0.16440677966101688"/>
          <c:w val="0.12719751809720786"/>
          <c:h val="7.457627118644073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Free-space SPL &amp; peak current at 10V peak</a:t>
            </a:r>
          </a:p>
        </c:rich>
      </c:tx>
      <c:layout>
        <c:manualLayout>
          <c:xMode val="edge"/>
          <c:yMode val="edge"/>
          <c:x val="0.31747673216132383"/>
          <c:y val="3.89830508474576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8252326783867626E-2"/>
          <c:y val="0.12372881355932204"/>
          <c:w val="0.81592554291623576"/>
          <c:h val="0.764406779661017"/>
        </c:manualLayout>
      </c:layout>
      <c:lineChart>
        <c:grouping val="standard"/>
        <c:ser>
          <c:idx val="0"/>
          <c:order val="0"/>
          <c:tx>
            <c:v>SPL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'Spec''s'!$T$35:$T$62</c:f>
              <c:numCache>
                <c:formatCode>0</c:formatCod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16.406707120152749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32.813414240305477</c:v>
                </c:pt>
                <c:pt idx="13">
                  <c:v>36.228946570556218</c:v>
                </c:pt>
                <c:pt idx="14">
                  <c:v>39.999999999999943</c:v>
                </c:pt>
                <c:pt idx="15">
                  <c:v>44.163580546952424</c:v>
                </c:pt>
                <c:pt idx="16">
                  <c:v>48.760546168178941</c:v>
                </c:pt>
                <c:pt idx="17">
                  <c:v>53.836007705294158</c:v>
                </c:pt>
                <c:pt idx="18">
                  <c:v>59.439771565477834</c:v>
                </c:pt>
                <c:pt idx="19">
                  <c:v>65.626828480610911</c:v>
                </c:pt>
                <c:pt idx="20">
                  <c:v>72.457893141112393</c:v>
                </c:pt>
                <c:pt idx="21">
                  <c:v>79.999999999999844</c:v>
                </c:pt>
                <c:pt idx="22">
                  <c:v>88.327161093904806</c:v>
                </c:pt>
                <c:pt idx="23">
                  <c:v>97.521092336357825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'Spec''s'!$Y$35:$Y$62</c:f>
              <c:numCache>
                <c:formatCode>0</c:formatCode>
                <c:ptCount val="28"/>
                <c:pt idx="0">
                  <c:v>53.427687042616419</c:v>
                </c:pt>
                <c:pt idx="1">
                  <c:v>55.202493401256604</c:v>
                </c:pt>
                <c:pt idx="2">
                  <c:v>56.989173841968174</c:v>
                </c:pt>
                <c:pt idx="3">
                  <c:v>58.790255973388938</c:v>
                </c:pt>
                <c:pt idx="4">
                  <c:v>60.608760007629272</c:v>
                </c:pt>
                <c:pt idx="5">
                  <c:v>62.448253182087015</c:v>
                </c:pt>
                <c:pt idx="6">
                  <c:v>64.312866769025504</c:v>
                </c:pt>
                <c:pt idx="7">
                  <c:v>66.207219424260884</c:v>
                </c:pt>
                <c:pt idx="8">
                  <c:v>68.136129043752717</c:v>
                </c:pt>
                <c:pt idx="9">
                  <c:v>70.103868377897982</c:v>
                </c:pt>
                <c:pt idx="10">
                  <c:v>72.112462013842503</c:v>
                </c:pt>
                <c:pt idx="11">
                  <c:v>74.158025483236841</c:v>
                </c:pt>
                <c:pt idx="12">
                  <c:v>76.223325224178282</c:v>
                </c:pt>
                <c:pt idx="13">
                  <c:v>78.264010933751635</c:v>
                </c:pt>
                <c:pt idx="14">
                  <c:v>80.188153398763731</c:v>
                </c:pt>
                <c:pt idx="15">
                  <c:v>81.842205128445855</c:v>
                </c:pt>
                <c:pt idx="16">
                  <c:v>83.044444849254774</c:v>
                </c:pt>
                <c:pt idx="17">
                  <c:v>83.693168204175421</c:v>
                </c:pt>
                <c:pt idx="18">
                  <c:v>83.853055725897846</c:v>
                </c:pt>
                <c:pt idx="19">
                  <c:v>83.698312947729278</c:v>
                </c:pt>
                <c:pt idx="20">
                  <c:v>83.395359932283512</c:v>
                </c:pt>
                <c:pt idx="21">
                  <c:v>83.050695112280607</c:v>
                </c:pt>
                <c:pt idx="22">
                  <c:v>82.718184585160586</c:v>
                </c:pt>
                <c:pt idx="23">
                  <c:v>82.420086567930511</c:v>
                </c:pt>
                <c:pt idx="24">
                  <c:v>82.162645412128853</c:v>
                </c:pt>
                <c:pt idx="25">
                  <c:v>81.944828300427091</c:v>
                </c:pt>
                <c:pt idx="26">
                  <c:v>81.762698835446272</c:v>
                </c:pt>
                <c:pt idx="27">
                  <c:v>81.611477628395122</c:v>
                </c:pt>
              </c:numCache>
            </c:numRef>
          </c:val>
        </c:ser>
        <c:marker val="1"/>
        <c:axId val="80349440"/>
        <c:axId val="80356096"/>
      </c:lineChart>
      <c:lineChart>
        <c:grouping val="standard"/>
        <c:ser>
          <c:idx val="1"/>
          <c:order val="1"/>
          <c:tx>
            <c:v>Ip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'Spec''s'!$T$35:$T$62</c:f>
              <c:numCache>
                <c:formatCode>0</c:formatCod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16.406707120152749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32.813414240305477</c:v>
                </c:pt>
                <c:pt idx="13">
                  <c:v>36.228946570556218</c:v>
                </c:pt>
                <c:pt idx="14">
                  <c:v>39.999999999999943</c:v>
                </c:pt>
                <c:pt idx="15">
                  <c:v>44.163580546952424</c:v>
                </c:pt>
                <c:pt idx="16">
                  <c:v>48.760546168178941</c:v>
                </c:pt>
                <c:pt idx="17">
                  <c:v>53.836007705294158</c:v>
                </c:pt>
                <c:pt idx="18">
                  <c:v>59.439771565477834</c:v>
                </c:pt>
                <c:pt idx="19">
                  <c:v>65.626828480610911</c:v>
                </c:pt>
                <c:pt idx="20">
                  <c:v>72.457893141112393</c:v>
                </c:pt>
                <c:pt idx="21">
                  <c:v>79.999999999999844</c:v>
                </c:pt>
                <c:pt idx="22">
                  <c:v>88.327161093904806</c:v>
                </c:pt>
                <c:pt idx="23">
                  <c:v>97.521092336357825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'Spec''s'!$Z$35:$Z$62</c:f>
              <c:numCache>
                <c:formatCode>0.0</c:formatCode>
                <c:ptCount val="28"/>
                <c:pt idx="0">
                  <c:v>1.6418048120793092</c:v>
                </c:pt>
                <c:pt idx="1">
                  <c:v>1.6359976279787165</c:v>
                </c:pt>
                <c:pt idx="2">
                  <c:v>1.628734215041332</c:v>
                </c:pt>
                <c:pt idx="3">
                  <c:v>1.6195990666029103</c:v>
                </c:pt>
                <c:pt idx="4">
                  <c:v>1.6080329275234722</c:v>
                </c:pt>
                <c:pt idx="5">
                  <c:v>1.5932708149931676</c:v>
                </c:pt>
                <c:pt idx="6">
                  <c:v>1.5742476268949486</c:v>
                </c:pt>
                <c:pt idx="7">
                  <c:v>1.5494519633111039</c:v>
                </c:pt>
                <c:pt idx="8">
                  <c:v>1.5166967341762023</c:v>
                </c:pt>
                <c:pt idx="9">
                  <c:v>1.4727572118087662</c:v>
                </c:pt>
                <c:pt idx="10">
                  <c:v>1.4128065125470233</c:v>
                </c:pt>
                <c:pt idx="11">
                  <c:v>1.3295793927682307</c:v>
                </c:pt>
                <c:pt idx="12">
                  <c:v>1.2123229157749706</c:v>
                </c:pt>
                <c:pt idx="13">
                  <c:v>1.0462151106166515</c:v>
                </c:pt>
                <c:pt idx="14">
                  <c:v>0.81513512275221089</c:v>
                </c:pt>
                <c:pt idx="15">
                  <c:v>0.51808477963543875</c:v>
                </c:pt>
                <c:pt idx="16">
                  <c:v>0.26755613878704615</c:v>
                </c:pt>
                <c:pt idx="17">
                  <c:v>0.45456806599056593</c:v>
                </c:pt>
                <c:pt idx="18">
                  <c:v>0.78828578335747457</c:v>
                </c:pt>
                <c:pt idx="19">
                  <c:v>1.0634708369765355</c:v>
                </c:pt>
                <c:pt idx="20">
                  <c:v>1.2613335120004212</c:v>
                </c:pt>
                <c:pt idx="21">
                  <c:v>1.396778433777154</c:v>
                </c:pt>
                <c:pt idx="22">
                  <c:v>1.4882632812214662</c:v>
                </c:pt>
                <c:pt idx="23">
                  <c:v>1.5500374002969948</c:v>
                </c:pt>
                <c:pt idx="24">
                  <c:v>1.5916889863670647</c:v>
                </c:pt>
                <c:pt idx="25">
                  <c:v>1.6193691585643006</c:v>
                </c:pt>
                <c:pt idx="26">
                  <c:v>1.6369651280804176</c:v>
                </c:pt>
                <c:pt idx="27">
                  <c:v>1.6469180643152013</c:v>
                </c:pt>
              </c:numCache>
            </c:numRef>
          </c:val>
        </c:ser>
        <c:marker val="1"/>
        <c:axId val="80358016"/>
        <c:axId val="80363904"/>
      </c:lineChart>
      <c:catAx>
        <c:axId val="803494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Frequency - Hz</a:t>
                </a:r>
              </a:p>
            </c:rich>
          </c:tx>
          <c:layout>
            <c:manualLayout>
              <c:xMode val="edge"/>
              <c:yMode val="edge"/>
              <c:x val="0.42502585315408498"/>
              <c:y val="0.9440677966101696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80356096"/>
        <c:crosses val="autoZero"/>
        <c:auto val="1"/>
        <c:lblAlgn val="ctr"/>
        <c:lblOffset val="100"/>
        <c:tickLblSkip val="1"/>
        <c:tickMarkSkip val="1"/>
      </c:catAx>
      <c:valAx>
        <c:axId val="80356096"/>
        <c:scaling>
          <c:orientation val="minMax"/>
          <c:max val="100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SPL - dB</a:t>
                </a:r>
              </a:p>
            </c:rich>
          </c:tx>
          <c:layout>
            <c:manualLayout>
              <c:xMode val="edge"/>
              <c:yMode val="edge"/>
              <c:x val="1.0341261633919347E-2"/>
              <c:y val="0.45593220338983076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80349440"/>
        <c:crosses val="autoZero"/>
        <c:crossBetween val="between"/>
      </c:valAx>
      <c:catAx>
        <c:axId val="80358016"/>
        <c:scaling>
          <c:orientation val="minMax"/>
        </c:scaling>
        <c:delete val="1"/>
        <c:axPos val="b"/>
        <c:numFmt formatCode="0" sourceLinked="1"/>
        <c:tickLblPos val="none"/>
        <c:crossAx val="80363904"/>
        <c:crosses val="autoZero"/>
        <c:auto val="1"/>
        <c:lblAlgn val="ctr"/>
        <c:lblOffset val="100"/>
      </c:catAx>
      <c:valAx>
        <c:axId val="80363904"/>
        <c:scaling>
          <c:orientation val="minMax"/>
          <c:max val="4"/>
          <c:min val="0"/>
        </c:scaling>
        <c:axPos val="r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Ip - A</a:t>
                </a:r>
              </a:p>
            </c:rich>
          </c:tx>
          <c:layout>
            <c:manualLayout>
              <c:xMode val="edge"/>
              <c:yMode val="edge"/>
              <c:x val="0.93071354705274012"/>
              <c:y val="0.466101694915254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8035801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202688728024823"/>
          <c:y val="0.23220338983050856"/>
          <c:w val="6.6184074457083783E-2"/>
          <c:h val="7.288135593220339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Max SPL for specified amplifier power and available Imax</a:t>
            </a:r>
          </a:p>
        </c:rich>
      </c:tx>
      <c:layout>
        <c:manualLayout>
          <c:xMode val="edge"/>
          <c:yMode val="edge"/>
          <c:x val="0.25749167591564948"/>
          <c:y val="1.957585644371942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658157602663708E-2"/>
          <c:y val="0.12234910277324637"/>
          <c:w val="0.81465038845726956"/>
          <c:h val="0.76672104404567765"/>
        </c:manualLayout>
      </c:layout>
      <c:lineChart>
        <c:grouping val="standard"/>
        <c:ser>
          <c:idx val="1"/>
          <c:order val="1"/>
          <c:tx>
            <c:v>SPL closed box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'Spec''s'!$T$35:$T$62</c:f>
              <c:numCache>
                <c:formatCode>0</c:formatCod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16.406707120152749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32.813414240305477</c:v>
                </c:pt>
                <c:pt idx="13">
                  <c:v>36.228946570556218</c:v>
                </c:pt>
                <c:pt idx="14">
                  <c:v>39.999999999999943</c:v>
                </c:pt>
                <c:pt idx="15">
                  <c:v>44.163580546952424</c:v>
                </c:pt>
                <c:pt idx="16">
                  <c:v>48.760546168178941</c:v>
                </c:pt>
                <c:pt idx="17">
                  <c:v>53.836007705294158</c:v>
                </c:pt>
                <c:pt idx="18">
                  <c:v>59.439771565477834</c:v>
                </c:pt>
                <c:pt idx="19">
                  <c:v>65.626828480610911</c:v>
                </c:pt>
                <c:pt idx="20">
                  <c:v>72.457893141112393</c:v>
                </c:pt>
                <c:pt idx="21">
                  <c:v>79.999999999999844</c:v>
                </c:pt>
                <c:pt idx="22">
                  <c:v>88.327161093904806</c:v>
                </c:pt>
                <c:pt idx="23">
                  <c:v>97.521092336357825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'Spec''s'!$AE$35:$AE$62</c:f>
              <c:numCache>
                <c:formatCode>0</c:formatCode>
                <c:ptCount val="28"/>
                <c:pt idx="0">
                  <c:v>52.462188733427382</c:v>
                </c:pt>
                <c:pt idx="1">
                  <c:v>54.182360137221558</c:v>
                </c:pt>
                <c:pt idx="2">
                  <c:v>55.902531541015733</c:v>
                </c:pt>
                <c:pt idx="3">
                  <c:v>57.622702944809916</c:v>
                </c:pt>
                <c:pt idx="4">
                  <c:v>59.342874348604091</c:v>
                </c:pt>
                <c:pt idx="5">
                  <c:v>61.06304575239826</c:v>
                </c:pt>
                <c:pt idx="6">
                  <c:v>62.783217156192435</c:v>
                </c:pt>
                <c:pt idx="7">
                  <c:v>64.503388559986618</c:v>
                </c:pt>
                <c:pt idx="8">
                  <c:v>66.223559963780787</c:v>
                </c:pt>
                <c:pt idx="9">
                  <c:v>67.943731367574969</c:v>
                </c:pt>
                <c:pt idx="10">
                  <c:v>69.663902771369152</c:v>
                </c:pt>
                <c:pt idx="11">
                  <c:v>71.38407417516332</c:v>
                </c:pt>
                <c:pt idx="12">
                  <c:v>73.104245578957503</c:v>
                </c:pt>
                <c:pt idx="13">
                  <c:v>74.824416982751671</c:v>
                </c:pt>
                <c:pt idx="14">
                  <c:v>76.544588386545854</c:v>
                </c:pt>
                <c:pt idx="15">
                  <c:v>78.264759790340037</c:v>
                </c:pt>
                <c:pt idx="16">
                  <c:v>79.984931194134205</c:v>
                </c:pt>
                <c:pt idx="17">
                  <c:v>81.705102597928388</c:v>
                </c:pt>
                <c:pt idx="18">
                  <c:v>83.42527400172257</c:v>
                </c:pt>
                <c:pt idx="19">
                  <c:v>85.145445405516739</c:v>
                </c:pt>
                <c:pt idx="20">
                  <c:v>86.865616809310907</c:v>
                </c:pt>
                <c:pt idx="21">
                  <c:v>88.58578821310509</c:v>
                </c:pt>
                <c:pt idx="22">
                  <c:v>90.305959616899258</c:v>
                </c:pt>
                <c:pt idx="23">
                  <c:v>92.026131020693441</c:v>
                </c:pt>
                <c:pt idx="24">
                  <c:v>93.746302424487624</c:v>
                </c:pt>
                <c:pt idx="25">
                  <c:v>95.466473828281806</c:v>
                </c:pt>
                <c:pt idx="26">
                  <c:v>96.360595045912973</c:v>
                </c:pt>
                <c:pt idx="27">
                  <c:v>96.209373838861808</c:v>
                </c:pt>
              </c:numCache>
            </c:numRef>
          </c:val>
        </c:ser>
        <c:ser>
          <c:idx val="2"/>
          <c:order val="2"/>
          <c:tx>
            <c:v>SPL dipole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'Spec''s'!$T$35:$T$62</c:f>
              <c:numCache>
                <c:formatCode>0</c:formatCod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16.406707120152749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32.813414240305477</c:v>
                </c:pt>
                <c:pt idx="13">
                  <c:v>36.228946570556218</c:v>
                </c:pt>
                <c:pt idx="14">
                  <c:v>39.999999999999943</c:v>
                </c:pt>
                <c:pt idx="15">
                  <c:v>44.163580546952424</c:v>
                </c:pt>
                <c:pt idx="16">
                  <c:v>48.760546168178941</c:v>
                </c:pt>
                <c:pt idx="17">
                  <c:v>53.836007705294158</c:v>
                </c:pt>
                <c:pt idx="18">
                  <c:v>59.439771565477834</c:v>
                </c:pt>
                <c:pt idx="19">
                  <c:v>65.626828480610911</c:v>
                </c:pt>
                <c:pt idx="20">
                  <c:v>72.457893141112393</c:v>
                </c:pt>
                <c:pt idx="21">
                  <c:v>79.999999999999844</c:v>
                </c:pt>
                <c:pt idx="22">
                  <c:v>88.327161093904806</c:v>
                </c:pt>
                <c:pt idx="23">
                  <c:v>97.521092336357825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'Spec''s'!$AG$35:$AG$62</c:f>
              <c:numCache>
                <c:formatCode>0</c:formatCode>
                <c:ptCount val="28"/>
                <c:pt idx="0">
                  <c:v>29.188527731565738</c:v>
                </c:pt>
                <c:pt idx="1">
                  <c:v>31.768784837257002</c:v>
                </c:pt>
                <c:pt idx="2">
                  <c:v>34.349041942948269</c:v>
                </c:pt>
                <c:pt idx="3">
                  <c:v>36.929299048639535</c:v>
                </c:pt>
                <c:pt idx="4">
                  <c:v>39.509556154330802</c:v>
                </c:pt>
                <c:pt idx="5">
                  <c:v>42.089813260022062</c:v>
                </c:pt>
                <c:pt idx="6">
                  <c:v>44.670070365713322</c:v>
                </c:pt>
                <c:pt idx="7">
                  <c:v>47.250327471404589</c:v>
                </c:pt>
                <c:pt idx="8">
                  <c:v>49.830584577095848</c:v>
                </c:pt>
                <c:pt idx="9">
                  <c:v>52.410841682787122</c:v>
                </c:pt>
                <c:pt idx="10">
                  <c:v>54.991098788478396</c:v>
                </c:pt>
                <c:pt idx="11">
                  <c:v>57.571355894169649</c:v>
                </c:pt>
                <c:pt idx="12">
                  <c:v>60.151612999860923</c:v>
                </c:pt>
                <c:pt idx="13">
                  <c:v>62.731870105552176</c:v>
                </c:pt>
                <c:pt idx="14">
                  <c:v>65.31212721124345</c:v>
                </c:pt>
                <c:pt idx="15">
                  <c:v>67.892384316934724</c:v>
                </c:pt>
                <c:pt idx="16">
                  <c:v>70.472641422625983</c:v>
                </c:pt>
                <c:pt idx="17">
                  <c:v>73.052898528317243</c:v>
                </c:pt>
                <c:pt idx="18">
                  <c:v>75.633155634008517</c:v>
                </c:pt>
                <c:pt idx="19">
                  <c:v>78.213412739699777</c:v>
                </c:pt>
                <c:pt idx="20">
                  <c:v>80.793669845391037</c:v>
                </c:pt>
                <c:pt idx="21">
                  <c:v>83.373926951082311</c:v>
                </c:pt>
                <c:pt idx="22">
                  <c:v>85.954184056773556</c:v>
                </c:pt>
                <c:pt idx="23">
                  <c:v>88.53444116246483</c:v>
                </c:pt>
                <c:pt idx="24">
                  <c:v>91.114698268156104</c:v>
                </c:pt>
                <c:pt idx="25">
                  <c:v>93.694955373847378</c:v>
                </c:pt>
                <c:pt idx="26">
                  <c:v>95.449162293375636</c:v>
                </c:pt>
                <c:pt idx="27">
                  <c:v>96.158026788221548</c:v>
                </c:pt>
              </c:numCache>
            </c:numRef>
          </c:val>
        </c:ser>
        <c:marker val="1"/>
        <c:axId val="80522240"/>
        <c:axId val="80528896"/>
      </c:lineChart>
      <c:lineChart>
        <c:grouping val="standard"/>
        <c:ser>
          <c:idx val="0"/>
          <c:order val="0"/>
          <c:tx>
            <c:v>Ipeak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'Spec''s'!$T$35:$T$62</c:f>
              <c:numCache>
                <c:formatCode>0</c:formatCod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16.406707120152749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32.813414240305477</c:v>
                </c:pt>
                <c:pt idx="13">
                  <c:v>36.228946570556218</c:v>
                </c:pt>
                <c:pt idx="14">
                  <c:v>39.999999999999943</c:v>
                </c:pt>
                <c:pt idx="15">
                  <c:v>44.163580546952424</c:v>
                </c:pt>
                <c:pt idx="16">
                  <c:v>48.760546168178941</c:v>
                </c:pt>
                <c:pt idx="17">
                  <c:v>53.836007705294158</c:v>
                </c:pt>
                <c:pt idx="18">
                  <c:v>59.439771565477834</c:v>
                </c:pt>
                <c:pt idx="19">
                  <c:v>65.626828480610911</c:v>
                </c:pt>
                <c:pt idx="20">
                  <c:v>72.457893141112393</c:v>
                </c:pt>
                <c:pt idx="21">
                  <c:v>79.999999999999844</c:v>
                </c:pt>
                <c:pt idx="22">
                  <c:v>88.327161093904806</c:v>
                </c:pt>
                <c:pt idx="23">
                  <c:v>97.521092336357825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'Spec''s'!$AC$35:$AC$62</c:f>
              <c:numCache>
                <c:formatCode>0.0</c:formatCode>
                <c:ptCount val="28"/>
                <c:pt idx="0">
                  <c:v>1.464037351772316</c:v>
                </c:pt>
                <c:pt idx="1">
                  <c:v>1.4497114019333337</c:v>
                </c:pt>
                <c:pt idx="2">
                  <c:v>1.4322659023376934</c:v>
                </c:pt>
                <c:pt idx="3">
                  <c:v>1.4110272940323461</c:v>
                </c:pt>
                <c:pt idx="4">
                  <c:v>1.3851799693737565</c:v>
                </c:pt>
                <c:pt idx="5">
                  <c:v>1.3537384916596262</c:v>
                </c:pt>
                <c:pt idx="6">
                  <c:v>1.3155159402097716</c:v>
                </c:pt>
                <c:pt idx="7">
                  <c:v>1.2690891220597063</c:v>
                </c:pt>
                <c:pt idx="8">
                  <c:v>1.2127627406844406</c:v>
                </c:pt>
                <c:pt idx="9">
                  <c:v>1.1445370496731408</c:v>
                </c:pt>
                <c:pt idx="10">
                  <c:v>1.0620874430252494</c:v>
                </c:pt>
                <c:pt idx="11">
                  <c:v>0.9627693547898547</c:v>
                </c:pt>
                <c:pt idx="12">
                  <c:v>0.84366470446231079</c:v>
                </c:pt>
                <c:pt idx="13">
                  <c:v>0.70169250697067165</c:v>
                </c:pt>
                <c:pt idx="14">
                  <c:v>0.53401923968208209</c:v>
                </c:pt>
                <c:pt idx="15">
                  <c:v>0.3420063069639005</c:v>
                </c:pt>
                <c:pt idx="16">
                  <c:v>0.18747561427526849</c:v>
                </c:pt>
                <c:pt idx="17">
                  <c:v>0.36033063792870101</c:v>
                </c:pt>
                <c:pt idx="18">
                  <c:v>0.74782530393180247</c:v>
                </c:pt>
                <c:pt idx="19">
                  <c:v>1.2519522241186241</c:v>
                </c:pt>
                <c:pt idx="20">
                  <c:v>1.8743397974336025</c:v>
                </c:pt>
                <c:pt idx="21">
                  <c:v>2.6326172590401078</c:v>
                </c:pt>
                <c:pt idx="22">
                  <c:v>3.5528270491273317</c:v>
                </c:pt>
                <c:pt idx="23">
                  <c:v>4.6682053075166641</c:v>
                </c:pt>
                <c:pt idx="24">
                  <c:v>6.0193086075547644</c:v>
                </c:pt>
                <c:pt idx="25">
                  <c:v>7.6547971817594718</c:v>
                </c:pt>
                <c:pt idx="26">
                  <c:v>8.7587027274657103</c:v>
                </c:pt>
                <c:pt idx="27">
                  <c:v>8.8119566473266158</c:v>
                </c:pt>
              </c:numCache>
            </c:numRef>
          </c:val>
        </c:ser>
        <c:marker val="1"/>
        <c:axId val="80530816"/>
        <c:axId val="80532608"/>
      </c:lineChart>
      <c:catAx>
        <c:axId val="805222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Frequency - Hz</a:t>
                </a:r>
              </a:p>
            </c:rich>
          </c:tx>
          <c:layout>
            <c:manualLayout>
              <c:xMode val="edge"/>
              <c:yMode val="edge"/>
              <c:x val="0.42952275249722532"/>
              <c:y val="0.942903752039152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80528896"/>
        <c:crosses val="autoZero"/>
        <c:auto val="1"/>
        <c:lblAlgn val="ctr"/>
        <c:lblOffset val="100"/>
        <c:tickLblSkip val="1"/>
        <c:tickMarkSkip val="1"/>
      </c:catAx>
      <c:valAx>
        <c:axId val="80528896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SPL - dB in free-space at 1m 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35562805872756931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80522240"/>
        <c:crosses val="autoZero"/>
        <c:crossBetween val="between"/>
      </c:valAx>
      <c:catAx>
        <c:axId val="80530816"/>
        <c:scaling>
          <c:orientation val="minMax"/>
        </c:scaling>
        <c:delete val="1"/>
        <c:axPos val="b"/>
        <c:numFmt formatCode="0" sourceLinked="1"/>
        <c:tickLblPos val="none"/>
        <c:crossAx val="80532608"/>
        <c:crosses val="autoZero"/>
        <c:auto val="1"/>
        <c:lblAlgn val="ctr"/>
        <c:lblOffset val="100"/>
      </c:catAx>
      <c:valAx>
        <c:axId val="80532608"/>
        <c:scaling>
          <c:orientation val="minMax"/>
          <c:max val="30"/>
          <c:min val="0"/>
        </c:scaling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Ipeak - A</a:t>
                </a:r>
              </a:p>
            </c:rich>
          </c:tx>
          <c:layout>
            <c:manualLayout>
              <c:xMode val="edge"/>
              <c:yMode val="edge"/>
              <c:x val="0.94006659267480575"/>
              <c:y val="0.45187601957585677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8053081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320754716981132"/>
          <c:y val="0.26101141924959231"/>
          <c:w val="0.14539400665926749"/>
          <c:h val="0.1044045676998368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Terminal impedance</a:t>
            </a:r>
          </a:p>
        </c:rich>
      </c:tx>
      <c:layout>
        <c:manualLayout>
          <c:xMode val="edge"/>
          <c:yMode val="edge"/>
          <c:x val="0.42399172699069287"/>
          <c:y val="2.03389830508474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3422957600827329E-2"/>
          <c:y val="0.12203389830508475"/>
          <c:w val="0.77249224405377503"/>
          <c:h val="0.76779661016949252"/>
        </c:manualLayout>
      </c:layout>
      <c:lineChart>
        <c:grouping val="standard"/>
        <c:ser>
          <c:idx val="0"/>
          <c:order val="0"/>
          <c:tx>
            <c:v>driver unbaffled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'Spec''s'!$B$35:$B$62</c:f>
              <c:numCache>
                <c:formatCode>0</c:formatCode>
                <c:ptCount val="28"/>
                <c:pt idx="0" formatCode="General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16.406707120152749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32.813414240305477</c:v>
                </c:pt>
                <c:pt idx="13">
                  <c:v>36.228946570556218</c:v>
                </c:pt>
                <c:pt idx="14">
                  <c:v>39.999999999999943</c:v>
                </c:pt>
                <c:pt idx="15">
                  <c:v>44.163580546952424</c:v>
                </c:pt>
                <c:pt idx="16">
                  <c:v>48.760546168178941</c:v>
                </c:pt>
                <c:pt idx="17">
                  <c:v>53.836007705294158</c:v>
                </c:pt>
                <c:pt idx="18">
                  <c:v>59.439771565477834</c:v>
                </c:pt>
                <c:pt idx="19">
                  <c:v>65.626828480610911</c:v>
                </c:pt>
                <c:pt idx="20">
                  <c:v>72.457893141112393</c:v>
                </c:pt>
                <c:pt idx="21">
                  <c:v>79.999999999999844</c:v>
                </c:pt>
                <c:pt idx="22">
                  <c:v>88.327161093904806</c:v>
                </c:pt>
                <c:pt idx="23">
                  <c:v>97.521092336357825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'Spec''s'!$E$35:$E$62</c:f>
              <c:numCache>
                <c:formatCode>0.0</c:formatCode>
                <c:ptCount val="28"/>
                <c:pt idx="0">
                  <c:v>6.1037518975651537</c:v>
                </c:pt>
                <c:pt idx="1">
                  <c:v>6.1275677202029417</c:v>
                </c:pt>
                <c:pt idx="2">
                  <c:v>6.157153367211083</c:v>
                </c:pt>
                <c:pt idx="3">
                  <c:v>6.1940609854004371</c:v>
                </c:pt>
                <c:pt idx="4">
                  <c:v>6.2403396055566214</c:v>
                </c:pt>
                <c:pt idx="5">
                  <c:v>6.2987352192986155</c:v>
                </c:pt>
                <c:pt idx="6">
                  <c:v>6.3729930419618661</c:v>
                </c:pt>
                <c:pt idx="7">
                  <c:v>6.4683266802625701</c:v>
                </c:pt>
                <c:pt idx="8">
                  <c:v>6.5921688389468454</c:v>
                </c:pt>
                <c:pt idx="9">
                  <c:v>6.7554147902754513</c:v>
                </c:pt>
                <c:pt idx="10">
                  <c:v>6.9745661767625187</c:v>
                </c:pt>
                <c:pt idx="11">
                  <c:v>7.2756058603293692</c:v>
                </c:pt>
                <c:pt idx="12">
                  <c:v>7.7014130157745031</c:v>
                </c:pt>
                <c:pt idx="13">
                  <c:v>8.3269948550352897</c:v>
                </c:pt>
                <c:pt idx="14">
                  <c:v>9.2937412220865685</c:v>
                </c:pt>
                <c:pt idx="15">
                  <c:v>10.896194320240799</c:v>
                </c:pt>
                <c:pt idx="16">
                  <c:v>13.839218042657929</c:v>
                </c:pt>
                <c:pt idx="17">
                  <c:v>20.146116293349074</c:v>
                </c:pt>
                <c:pt idx="18">
                  <c:v>35.034681573300581</c:v>
                </c:pt>
                <c:pt idx="19">
                  <c:v>34.147736710030387</c:v>
                </c:pt>
                <c:pt idx="20">
                  <c:v>19.110810287412239</c:v>
                </c:pt>
                <c:pt idx="21">
                  <c:v>12.878477791222972</c:v>
                </c:pt>
                <c:pt idx="22">
                  <c:v>10.006978515248045</c:v>
                </c:pt>
                <c:pt idx="23">
                  <c:v>8.4739575005495027</c:v>
                </c:pt>
                <c:pt idx="24">
                  <c:v>7.5745601684942887</c:v>
                </c:pt>
                <c:pt idx="25">
                  <c:v>7.0139823262591277</c:v>
                </c:pt>
                <c:pt idx="26">
                  <c:v>6.6513354689733228</c:v>
                </c:pt>
                <c:pt idx="27">
                  <c:v>6.4128233098411735</c:v>
                </c:pt>
              </c:numCache>
            </c:numRef>
          </c:val>
        </c:ser>
        <c:ser>
          <c:idx val="1"/>
          <c:order val="1"/>
          <c:tx>
            <c:v>driver in box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'Spec''s'!$B$35:$B$62</c:f>
              <c:numCache>
                <c:formatCode>0</c:formatCode>
                <c:ptCount val="28"/>
                <c:pt idx="0" formatCode="General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16.406707120152749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32.813414240305477</c:v>
                </c:pt>
                <c:pt idx="13">
                  <c:v>36.228946570556218</c:v>
                </c:pt>
                <c:pt idx="14">
                  <c:v>39.999999999999943</c:v>
                </c:pt>
                <c:pt idx="15">
                  <c:v>44.163580546952424</c:v>
                </c:pt>
                <c:pt idx="16">
                  <c:v>48.760546168178941</c:v>
                </c:pt>
                <c:pt idx="17">
                  <c:v>53.836007705294158</c:v>
                </c:pt>
                <c:pt idx="18">
                  <c:v>59.439771565477834</c:v>
                </c:pt>
                <c:pt idx="19">
                  <c:v>65.626828480610911</c:v>
                </c:pt>
                <c:pt idx="20">
                  <c:v>72.457893141112393</c:v>
                </c:pt>
                <c:pt idx="21">
                  <c:v>79.999999999999844</c:v>
                </c:pt>
                <c:pt idx="22">
                  <c:v>88.327161093904806</c:v>
                </c:pt>
                <c:pt idx="23">
                  <c:v>97.521092336357825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'Spec''s'!$J$35:$J$62</c:f>
              <c:numCache>
                <c:formatCode>0.0</c:formatCode>
                <c:ptCount val="28"/>
                <c:pt idx="0">
                  <c:v>6.0908580157803431</c:v>
                </c:pt>
                <c:pt idx="1">
                  <c:v>6.11247830007862</c:v>
                </c:pt>
                <c:pt idx="2">
                  <c:v>6.13973716991402</c:v>
                </c:pt>
                <c:pt idx="3">
                  <c:v>6.1743675988742579</c:v>
                </c:pt>
                <c:pt idx="4">
                  <c:v>6.2187781287544759</c:v>
                </c:pt>
                <c:pt idx="5">
                  <c:v>6.2763968974369764</c:v>
                </c:pt>
                <c:pt idx="6">
                  <c:v>6.3522407969094639</c:v>
                </c:pt>
                <c:pt idx="7">
                  <c:v>6.4538948200952833</c:v>
                </c:pt>
                <c:pt idx="8">
                  <c:v>6.5932758834820895</c:v>
                </c:pt>
                <c:pt idx="9">
                  <c:v>6.7899854231360406</c:v>
                </c:pt>
                <c:pt idx="10">
                  <c:v>7.0781100675788142</c:v>
                </c:pt>
                <c:pt idx="11">
                  <c:v>7.5211755344520279</c:v>
                </c:pt>
                <c:pt idx="12">
                  <c:v>8.2486273829176575</c:v>
                </c:pt>
                <c:pt idx="13">
                  <c:v>9.5582637820112186</c:v>
                </c:pt>
                <c:pt idx="14">
                  <c:v>12.267904695648665</c:v>
                </c:pt>
                <c:pt idx="15">
                  <c:v>19.301860222639064</c:v>
                </c:pt>
                <c:pt idx="16">
                  <c:v>37.375333809698986</c:v>
                </c:pt>
                <c:pt idx="17">
                  <c:v>21.998905660494724</c:v>
                </c:pt>
                <c:pt idx="18">
                  <c:v>12.685754597029394</c:v>
                </c:pt>
                <c:pt idx="19">
                  <c:v>9.4031727550048849</c:v>
                </c:pt>
                <c:pt idx="20">
                  <c:v>7.9281172702217555</c:v>
                </c:pt>
                <c:pt idx="21">
                  <c:v>7.1593316149348771</c:v>
                </c:pt>
                <c:pt idx="22">
                  <c:v>6.7192412298129627</c:v>
                </c:pt>
                <c:pt idx="23">
                  <c:v>6.4514572345699213</c:v>
                </c:pt>
                <c:pt idx="24">
                  <c:v>6.2826344126589735</c:v>
                </c:pt>
                <c:pt idx="25">
                  <c:v>6.1752441974785999</c:v>
                </c:pt>
                <c:pt idx="26">
                  <c:v>6.1088656248447215</c:v>
                </c:pt>
                <c:pt idx="27">
                  <c:v>6.071947485838078</c:v>
                </c:pt>
              </c:numCache>
            </c:numRef>
          </c:val>
        </c:ser>
        <c:marker val="1"/>
        <c:axId val="80562432"/>
        <c:axId val="80581376"/>
      </c:lineChart>
      <c:catAx>
        <c:axId val="805624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Frequency - Hz</a:t>
                </a:r>
              </a:p>
            </c:rich>
          </c:tx>
          <c:layout>
            <c:manualLayout>
              <c:xMode val="edge"/>
              <c:yMode val="edge"/>
              <c:x val="0.40847983453981401"/>
              <c:y val="0.9423728813559318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80581376"/>
        <c:crosses val="autoZero"/>
        <c:auto val="1"/>
        <c:lblAlgn val="ctr"/>
        <c:lblOffset val="100"/>
        <c:tickLblSkip val="1"/>
        <c:tickMarkSkip val="1"/>
      </c:catAx>
      <c:valAx>
        <c:axId val="8058137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ohm</a:t>
                </a:r>
              </a:p>
            </c:rich>
          </c:tx>
          <c:layout>
            <c:manualLayout>
              <c:xMode val="edge"/>
              <c:yMode val="edge"/>
              <c:x val="1.137538779731128E-2"/>
              <c:y val="0.4779661016949155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80562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2047569803516078"/>
          <c:y val="0.2491525423728814"/>
          <c:w val="0.15822130299896595"/>
          <c:h val="7.457627118644073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Impedance model</a:t>
            </a:r>
          </a:p>
        </c:rich>
      </c:tx>
      <c:layout>
        <c:manualLayout>
          <c:xMode val="edge"/>
          <c:yMode val="edge"/>
          <c:x val="0.40127419734819536"/>
          <c:y val="1.312339321735876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28033896697344"/>
          <c:y val="8.3989716591096095E-2"/>
          <c:w val="0.85987328003184715"/>
          <c:h val="0.77952955711111094"/>
        </c:manualLayout>
      </c:layout>
      <c:lineChart>
        <c:grouping val="standard"/>
        <c:ser>
          <c:idx val="0"/>
          <c:order val="0"/>
          <c:tx>
            <c:v>Zin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Test!$B$31:$B$66</c:f>
              <c:numCache>
                <c:formatCode>0</c:formatCode>
                <c:ptCount val="36"/>
                <c:pt idx="0" formatCode="General">
                  <c:v>10</c:v>
                </c:pt>
                <c:pt idx="1">
                  <c:v>10.8</c:v>
                </c:pt>
                <c:pt idx="2">
                  <c:v>11.664000000000001</c:v>
                </c:pt>
                <c:pt idx="3">
                  <c:v>12.597120000000002</c:v>
                </c:pt>
                <c:pt idx="4">
                  <c:v>13.604889600000003</c:v>
                </c:pt>
                <c:pt idx="5">
                  <c:v>14.693280768000005</c:v>
                </c:pt>
                <c:pt idx="6">
                  <c:v>15.868743229440007</c:v>
                </c:pt>
                <c:pt idx="7">
                  <c:v>17.138242687795209</c:v>
                </c:pt>
                <c:pt idx="8">
                  <c:v>18.509302102818829</c:v>
                </c:pt>
                <c:pt idx="9">
                  <c:v>19.990046271044335</c:v>
                </c:pt>
                <c:pt idx="10">
                  <c:v>21.589249972727885</c:v>
                </c:pt>
                <c:pt idx="11">
                  <c:v>23.316389970546116</c:v>
                </c:pt>
                <c:pt idx="12">
                  <c:v>25.181701168189807</c:v>
                </c:pt>
                <c:pt idx="13">
                  <c:v>27.196237261644995</c:v>
                </c:pt>
                <c:pt idx="14">
                  <c:v>29.371936242576599</c:v>
                </c:pt>
                <c:pt idx="15">
                  <c:v>31.721691141982728</c:v>
                </c:pt>
                <c:pt idx="16">
                  <c:v>34.259426433341346</c:v>
                </c:pt>
                <c:pt idx="17">
                  <c:v>37.000180548008657</c:v>
                </c:pt>
                <c:pt idx="18">
                  <c:v>39.960194991849356</c:v>
                </c:pt>
                <c:pt idx="19">
                  <c:v>43.157010591197306</c:v>
                </c:pt>
                <c:pt idx="20">
                  <c:v>46.609571438493091</c:v>
                </c:pt>
                <c:pt idx="21">
                  <c:v>50.338337153572539</c:v>
                </c:pt>
                <c:pt idx="22">
                  <c:v>54.365404125858348</c:v>
                </c:pt>
                <c:pt idx="23">
                  <c:v>58.714636455927021</c:v>
                </c:pt>
                <c:pt idx="24">
                  <c:v>63.411807372401185</c:v>
                </c:pt>
                <c:pt idx="25">
                  <c:v>68.484751962193286</c:v>
                </c:pt>
                <c:pt idx="26">
                  <c:v>73.963532119168761</c:v>
                </c:pt>
                <c:pt idx="27">
                  <c:v>79.880614688702266</c:v>
                </c:pt>
                <c:pt idx="28">
                  <c:v>86.27106386379846</c:v>
                </c:pt>
                <c:pt idx="29">
                  <c:v>93.17274897290234</c:v>
                </c:pt>
                <c:pt idx="30">
                  <c:v>100.62656889073453</c:v>
                </c:pt>
                <c:pt idx="31">
                  <c:v>108.6766944019933</c:v>
                </c:pt>
                <c:pt idx="32">
                  <c:v>117.37082995415277</c:v>
                </c:pt>
                <c:pt idx="33">
                  <c:v>126.760496350485</c:v>
                </c:pt>
                <c:pt idx="34">
                  <c:v>136.90133605852381</c:v>
                </c:pt>
                <c:pt idx="35">
                  <c:v>147.85344294320572</c:v>
                </c:pt>
              </c:numCache>
            </c:numRef>
          </c:cat>
          <c:val>
            <c:numRef>
              <c:f>Test!$C$31:$C$66</c:f>
              <c:numCache>
                <c:formatCode>0.0</c:formatCode>
                <c:ptCount val="36"/>
                <c:pt idx="0">
                  <c:v>4.3012499449256927</c:v>
                </c:pt>
                <c:pt idx="1">
                  <c:v>4.4432045745031159</c:v>
                </c:pt>
                <c:pt idx="2">
                  <c:v>4.612463865548639</c:v>
                </c:pt>
                <c:pt idx="3">
                  <c:v>4.815252937694785</c:v>
                </c:pt>
                <c:pt idx="4">
                  <c:v>5.0596690112956635</c:v>
                </c:pt>
                <c:pt idx="5">
                  <c:v>5.3564572201369884</c:v>
                </c:pt>
                <c:pt idx="6">
                  <c:v>5.7202127928590105</c:v>
                </c:pt>
                <c:pt idx="7">
                  <c:v>6.1713076128771531</c:v>
                </c:pt>
                <c:pt idx="8">
                  <c:v>6.7391005915691471</c:v>
                </c:pt>
                <c:pt idx="9">
                  <c:v>7.4675397936360755</c:v>
                </c:pt>
                <c:pt idx="10">
                  <c:v>8.4254935992762832</c:v>
                </c:pt>
                <c:pt idx="11">
                  <c:v>9.727126306300498</c:v>
                </c:pt>
                <c:pt idx="12">
                  <c:v>11.575541324666911</c:v>
                </c:pt>
                <c:pt idx="13">
                  <c:v>14.366248125214124</c:v>
                </c:pt>
                <c:pt idx="14">
                  <c:v>18.963347457200637</c:v>
                </c:pt>
                <c:pt idx="15">
                  <c:v>27.502396865902675</c:v>
                </c:pt>
                <c:pt idx="16">
                  <c:v>44.443052848902951</c:v>
                </c:pt>
                <c:pt idx="17">
                  <c:v>53.127082307156002</c:v>
                </c:pt>
                <c:pt idx="18">
                  <c:v>33.902570747532643</c:v>
                </c:pt>
                <c:pt idx="19">
                  <c:v>22.138985253047249</c:v>
                </c:pt>
                <c:pt idx="20">
                  <c:v>16.147850274441268</c:v>
                </c:pt>
                <c:pt idx="21">
                  <c:v>12.691030798427294</c:v>
                </c:pt>
                <c:pt idx="22">
                  <c:v>10.481847922456401</c:v>
                </c:pt>
                <c:pt idx="23">
                  <c:v>8.9649769040708094</c:v>
                </c:pt>
                <c:pt idx="24">
                  <c:v>7.8689217882978166</c:v>
                </c:pt>
                <c:pt idx="25">
                  <c:v>7.046803123529954</c:v>
                </c:pt>
                <c:pt idx="26">
                  <c:v>6.41263822586036</c:v>
                </c:pt>
                <c:pt idx="27">
                  <c:v>5.9128621118143254</c:v>
                </c:pt>
                <c:pt idx="28">
                  <c:v>5.5123893492077425</c:v>
                </c:pt>
                <c:pt idx="29">
                  <c:v>5.1872709484725403</c:v>
                </c:pt>
                <c:pt idx="30">
                  <c:v>4.9205853819976912</c:v>
                </c:pt>
                <c:pt idx="31">
                  <c:v>4.7000215056422956</c:v>
                </c:pt>
                <c:pt idx="32">
                  <c:v>4.5163956924187705</c:v>
                </c:pt>
                <c:pt idx="33">
                  <c:v>4.3627088376137015</c:v>
                </c:pt>
                <c:pt idx="34">
                  <c:v>4.2335276776240782</c:v>
                </c:pt>
                <c:pt idx="35">
                  <c:v>4.1245675317536987</c:v>
                </c:pt>
              </c:numCache>
            </c:numRef>
          </c:val>
        </c:ser>
        <c:ser>
          <c:idx val="1"/>
          <c:order val="1"/>
          <c:tx>
            <c:v>Rdc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Test!$B$31:$B$66</c:f>
              <c:numCache>
                <c:formatCode>0</c:formatCode>
                <c:ptCount val="36"/>
                <c:pt idx="0" formatCode="General">
                  <c:v>10</c:v>
                </c:pt>
                <c:pt idx="1">
                  <c:v>10.8</c:v>
                </c:pt>
                <c:pt idx="2">
                  <c:v>11.664000000000001</c:v>
                </c:pt>
                <c:pt idx="3">
                  <c:v>12.597120000000002</c:v>
                </c:pt>
                <c:pt idx="4">
                  <c:v>13.604889600000003</c:v>
                </c:pt>
                <c:pt idx="5">
                  <c:v>14.693280768000005</c:v>
                </c:pt>
                <c:pt idx="6">
                  <c:v>15.868743229440007</c:v>
                </c:pt>
                <c:pt idx="7">
                  <c:v>17.138242687795209</c:v>
                </c:pt>
                <c:pt idx="8">
                  <c:v>18.509302102818829</c:v>
                </c:pt>
                <c:pt idx="9">
                  <c:v>19.990046271044335</c:v>
                </c:pt>
                <c:pt idx="10">
                  <c:v>21.589249972727885</c:v>
                </c:pt>
                <c:pt idx="11">
                  <c:v>23.316389970546116</c:v>
                </c:pt>
                <c:pt idx="12">
                  <c:v>25.181701168189807</c:v>
                </c:pt>
                <c:pt idx="13">
                  <c:v>27.196237261644995</c:v>
                </c:pt>
                <c:pt idx="14">
                  <c:v>29.371936242576599</c:v>
                </c:pt>
                <c:pt idx="15">
                  <c:v>31.721691141982728</c:v>
                </c:pt>
                <c:pt idx="16">
                  <c:v>34.259426433341346</c:v>
                </c:pt>
                <c:pt idx="17">
                  <c:v>37.000180548008657</c:v>
                </c:pt>
                <c:pt idx="18">
                  <c:v>39.960194991849356</c:v>
                </c:pt>
                <c:pt idx="19">
                  <c:v>43.157010591197306</c:v>
                </c:pt>
                <c:pt idx="20">
                  <c:v>46.609571438493091</c:v>
                </c:pt>
                <c:pt idx="21">
                  <c:v>50.338337153572539</c:v>
                </c:pt>
                <c:pt idx="22">
                  <c:v>54.365404125858348</c:v>
                </c:pt>
                <c:pt idx="23">
                  <c:v>58.714636455927021</c:v>
                </c:pt>
                <c:pt idx="24">
                  <c:v>63.411807372401185</c:v>
                </c:pt>
                <c:pt idx="25">
                  <c:v>68.484751962193286</c:v>
                </c:pt>
                <c:pt idx="26">
                  <c:v>73.963532119168761</c:v>
                </c:pt>
                <c:pt idx="27">
                  <c:v>79.880614688702266</c:v>
                </c:pt>
                <c:pt idx="28">
                  <c:v>86.27106386379846</c:v>
                </c:pt>
                <c:pt idx="29">
                  <c:v>93.17274897290234</c:v>
                </c:pt>
                <c:pt idx="30">
                  <c:v>100.62656889073453</c:v>
                </c:pt>
                <c:pt idx="31">
                  <c:v>108.6766944019933</c:v>
                </c:pt>
                <c:pt idx="32">
                  <c:v>117.37082995415277</c:v>
                </c:pt>
                <c:pt idx="33">
                  <c:v>126.760496350485</c:v>
                </c:pt>
                <c:pt idx="34">
                  <c:v>136.90133605852381</c:v>
                </c:pt>
                <c:pt idx="35">
                  <c:v>147.85344294320572</c:v>
                </c:pt>
              </c:numCache>
            </c:numRef>
          </c:cat>
          <c:val>
            <c:numRef>
              <c:f>Test!$D$31:$D$66</c:f>
              <c:numCache>
                <c:formatCode>General</c:formatCode>
                <c:ptCount val="36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3.5</c:v>
                </c:pt>
                <c:pt idx="22">
                  <c:v>3.5</c:v>
                </c:pt>
                <c:pt idx="23">
                  <c:v>3.5</c:v>
                </c:pt>
                <c:pt idx="24">
                  <c:v>3.5</c:v>
                </c:pt>
                <c:pt idx="25">
                  <c:v>3.5</c:v>
                </c:pt>
                <c:pt idx="26">
                  <c:v>3.5</c:v>
                </c:pt>
                <c:pt idx="27">
                  <c:v>3.5</c:v>
                </c:pt>
                <c:pt idx="28">
                  <c:v>3.5</c:v>
                </c:pt>
                <c:pt idx="29">
                  <c:v>3.5</c:v>
                </c:pt>
                <c:pt idx="30">
                  <c:v>3.5</c:v>
                </c:pt>
                <c:pt idx="31">
                  <c:v>3.5</c:v>
                </c:pt>
                <c:pt idx="32">
                  <c:v>3.5</c:v>
                </c:pt>
                <c:pt idx="33">
                  <c:v>3.5</c:v>
                </c:pt>
                <c:pt idx="34">
                  <c:v>3.5</c:v>
                </c:pt>
                <c:pt idx="35">
                  <c:v>3.5</c:v>
                </c:pt>
              </c:numCache>
            </c:numRef>
          </c:val>
        </c:ser>
        <c:ser>
          <c:idx val="2"/>
          <c:order val="2"/>
          <c:tx>
            <c:v>Rmax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Test!$B$31:$B$66</c:f>
              <c:numCache>
                <c:formatCode>0</c:formatCode>
                <c:ptCount val="36"/>
                <c:pt idx="0" formatCode="General">
                  <c:v>10</c:v>
                </c:pt>
                <c:pt idx="1">
                  <c:v>10.8</c:v>
                </c:pt>
                <c:pt idx="2">
                  <c:v>11.664000000000001</c:v>
                </c:pt>
                <c:pt idx="3">
                  <c:v>12.597120000000002</c:v>
                </c:pt>
                <c:pt idx="4">
                  <c:v>13.604889600000003</c:v>
                </c:pt>
                <c:pt idx="5">
                  <c:v>14.693280768000005</c:v>
                </c:pt>
                <c:pt idx="6">
                  <c:v>15.868743229440007</c:v>
                </c:pt>
                <c:pt idx="7">
                  <c:v>17.138242687795209</c:v>
                </c:pt>
                <c:pt idx="8">
                  <c:v>18.509302102818829</c:v>
                </c:pt>
                <c:pt idx="9">
                  <c:v>19.990046271044335</c:v>
                </c:pt>
                <c:pt idx="10">
                  <c:v>21.589249972727885</c:v>
                </c:pt>
                <c:pt idx="11">
                  <c:v>23.316389970546116</c:v>
                </c:pt>
                <c:pt idx="12">
                  <c:v>25.181701168189807</c:v>
                </c:pt>
                <c:pt idx="13">
                  <c:v>27.196237261644995</c:v>
                </c:pt>
                <c:pt idx="14">
                  <c:v>29.371936242576599</c:v>
                </c:pt>
                <c:pt idx="15">
                  <c:v>31.721691141982728</c:v>
                </c:pt>
                <c:pt idx="16">
                  <c:v>34.259426433341346</c:v>
                </c:pt>
                <c:pt idx="17">
                  <c:v>37.000180548008657</c:v>
                </c:pt>
                <c:pt idx="18">
                  <c:v>39.960194991849356</c:v>
                </c:pt>
                <c:pt idx="19">
                  <c:v>43.157010591197306</c:v>
                </c:pt>
                <c:pt idx="20">
                  <c:v>46.609571438493091</c:v>
                </c:pt>
                <c:pt idx="21">
                  <c:v>50.338337153572539</c:v>
                </c:pt>
                <c:pt idx="22">
                  <c:v>54.365404125858348</c:v>
                </c:pt>
                <c:pt idx="23">
                  <c:v>58.714636455927021</c:v>
                </c:pt>
                <c:pt idx="24">
                  <c:v>63.411807372401185</c:v>
                </c:pt>
                <c:pt idx="25">
                  <c:v>68.484751962193286</c:v>
                </c:pt>
                <c:pt idx="26">
                  <c:v>73.963532119168761</c:v>
                </c:pt>
                <c:pt idx="27">
                  <c:v>79.880614688702266</c:v>
                </c:pt>
                <c:pt idx="28">
                  <c:v>86.27106386379846</c:v>
                </c:pt>
                <c:pt idx="29">
                  <c:v>93.17274897290234</c:v>
                </c:pt>
                <c:pt idx="30">
                  <c:v>100.62656889073453</c:v>
                </c:pt>
                <c:pt idx="31">
                  <c:v>108.6766944019933</c:v>
                </c:pt>
                <c:pt idx="32">
                  <c:v>117.37082995415277</c:v>
                </c:pt>
                <c:pt idx="33">
                  <c:v>126.760496350485</c:v>
                </c:pt>
                <c:pt idx="34">
                  <c:v>136.90133605852381</c:v>
                </c:pt>
                <c:pt idx="35">
                  <c:v>147.85344294320572</c:v>
                </c:pt>
              </c:numCache>
            </c:numRef>
          </c:cat>
          <c:val>
            <c:numRef>
              <c:f>Test!$E$31:$E$66</c:f>
              <c:numCache>
                <c:formatCode>General</c:formatCode>
                <c:ptCount val="36"/>
                <c:pt idx="0">
                  <c:v>55.1</c:v>
                </c:pt>
                <c:pt idx="1">
                  <c:v>55.1</c:v>
                </c:pt>
                <c:pt idx="2">
                  <c:v>55.1</c:v>
                </c:pt>
                <c:pt idx="3">
                  <c:v>55.1</c:v>
                </c:pt>
                <c:pt idx="4">
                  <c:v>55.1</c:v>
                </c:pt>
                <c:pt idx="5">
                  <c:v>55.1</c:v>
                </c:pt>
                <c:pt idx="6">
                  <c:v>55.1</c:v>
                </c:pt>
                <c:pt idx="7">
                  <c:v>55.1</c:v>
                </c:pt>
                <c:pt idx="8">
                  <c:v>55.1</c:v>
                </c:pt>
                <c:pt idx="9">
                  <c:v>55.1</c:v>
                </c:pt>
                <c:pt idx="10">
                  <c:v>55.1</c:v>
                </c:pt>
                <c:pt idx="11">
                  <c:v>55.1</c:v>
                </c:pt>
                <c:pt idx="12">
                  <c:v>55.1</c:v>
                </c:pt>
                <c:pt idx="13">
                  <c:v>55.1</c:v>
                </c:pt>
                <c:pt idx="14">
                  <c:v>55.1</c:v>
                </c:pt>
                <c:pt idx="15">
                  <c:v>55.1</c:v>
                </c:pt>
                <c:pt idx="16">
                  <c:v>55.1</c:v>
                </c:pt>
                <c:pt idx="17">
                  <c:v>55.1</c:v>
                </c:pt>
                <c:pt idx="18">
                  <c:v>55.1</c:v>
                </c:pt>
                <c:pt idx="19">
                  <c:v>55.1</c:v>
                </c:pt>
                <c:pt idx="20">
                  <c:v>55.1</c:v>
                </c:pt>
                <c:pt idx="21">
                  <c:v>55.1</c:v>
                </c:pt>
                <c:pt idx="22">
                  <c:v>55.1</c:v>
                </c:pt>
                <c:pt idx="23">
                  <c:v>55.1</c:v>
                </c:pt>
                <c:pt idx="24">
                  <c:v>55.1</c:v>
                </c:pt>
                <c:pt idx="25">
                  <c:v>55.1</c:v>
                </c:pt>
                <c:pt idx="26">
                  <c:v>55.1</c:v>
                </c:pt>
                <c:pt idx="27">
                  <c:v>55.1</c:v>
                </c:pt>
                <c:pt idx="28">
                  <c:v>55.1</c:v>
                </c:pt>
                <c:pt idx="29">
                  <c:v>55.1</c:v>
                </c:pt>
                <c:pt idx="30">
                  <c:v>55.1</c:v>
                </c:pt>
                <c:pt idx="31">
                  <c:v>55.1</c:v>
                </c:pt>
                <c:pt idx="32">
                  <c:v>55.1</c:v>
                </c:pt>
                <c:pt idx="33">
                  <c:v>55.1</c:v>
                </c:pt>
                <c:pt idx="34">
                  <c:v>55.1</c:v>
                </c:pt>
                <c:pt idx="35">
                  <c:v>55.1</c:v>
                </c:pt>
              </c:numCache>
            </c:numRef>
          </c:val>
        </c:ser>
        <c:ser>
          <c:idx val="3"/>
          <c:order val="3"/>
          <c:tx>
            <c:v>R12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Test!$B$31:$B$66</c:f>
              <c:numCache>
                <c:formatCode>0</c:formatCode>
                <c:ptCount val="36"/>
                <c:pt idx="0" formatCode="General">
                  <c:v>10</c:v>
                </c:pt>
                <c:pt idx="1">
                  <c:v>10.8</c:v>
                </c:pt>
                <c:pt idx="2">
                  <c:v>11.664000000000001</c:v>
                </c:pt>
                <c:pt idx="3">
                  <c:v>12.597120000000002</c:v>
                </c:pt>
                <c:pt idx="4">
                  <c:v>13.604889600000003</c:v>
                </c:pt>
                <c:pt idx="5">
                  <c:v>14.693280768000005</c:v>
                </c:pt>
                <c:pt idx="6">
                  <c:v>15.868743229440007</c:v>
                </c:pt>
                <c:pt idx="7">
                  <c:v>17.138242687795209</c:v>
                </c:pt>
                <c:pt idx="8">
                  <c:v>18.509302102818829</c:v>
                </c:pt>
                <c:pt idx="9">
                  <c:v>19.990046271044335</c:v>
                </c:pt>
                <c:pt idx="10">
                  <c:v>21.589249972727885</c:v>
                </c:pt>
                <c:pt idx="11">
                  <c:v>23.316389970546116</c:v>
                </c:pt>
                <c:pt idx="12">
                  <c:v>25.181701168189807</c:v>
                </c:pt>
                <c:pt idx="13">
                  <c:v>27.196237261644995</c:v>
                </c:pt>
                <c:pt idx="14">
                  <c:v>29.371936242576599</c:v>
                </c:pt>
                <c:pt idx="15">
                  <c:v>31.721691141982728</c:v>
                </c:pt>
                <c:pt idx="16">
                  <c:v>34.259426433341346</c:v>
                </c:pt>
                <c:pt idx="17">
                  <c:v>37.000180548008657</c:v>
                </c:pt>
                <c:pt idx="18">
                  <c:v>39.960194991849356</c:v>
                </c:pt>
                <c:pt idx="19">
                  <c:v>43.157010591197306</c:v>
                </c:pt>
                <c:pt idx="20">
                  <c:v>46.609571438493091</c:v>
                </c:pt>
                <c:pt idx="21">
                  <c:v>50.338337153572539</c:v>
                </c:pt>
                <c:pt idx="22">
                  <c:v>54.365404125858348</c:v>
                </c:pt>
                <c:pt idx="23">
                  <c:v>58.714636455927021</c:v>
                </c:pt>
                <c:pt idx="24">
                  <c:v>63.411807372401185</c:v>
                </c:pt>
                <c:pt idx="25">
                  <c:v>68.484751962193286</c:v>
                </c:pt>
                <c:pt idx="26">
                  <c:v>73.963532119168761</c:v>
                </c:pt>
                <c:pt idx="27">
                  <c:v>79.880614688702266</c:v>
                </c:pt>
                <c:pt idx="28">
                  <c:v>86.27106386379846</c:v>
                </c:pt>
                <c:pt idx="29">
                  <c:v>93.17274897290234</c:v>
                </c:pt>
                <c:pt idx="30">
                  <c:v>100.62656889073453</c:v>
                </c:pt>
                <c:pt idx="31">
                  <c:v>108.6766944019933</c:v>
                </c:pt>
                <c:pt idx="32">
                  <c:v>117.37082995415277</c:v>
                </c:pt>
                <c:pt idx="33">
                  <c:v>126.760496350485</c:v>
                </c:pt>
                <c:pt idx="34">
                  <c:v>136.90133605852381</c:v>
                </c:pt>
                <c:pt idx="35">
                  <c:v>147.85344294320572</c:v>
                </c:pt>
              </c:numCache>
            </c:numRef>
          </c:cat>
          <c:val>
            <c:numRef>
              <c:f>Test!$F$31:$F$66</c:f>
              <c:numCache>
                <c:formatCode>0.0</c:formatCode>
                <c:ptCount val="36"/>
                <c:pt idx="0">
                  <c:v>13.887044321957067</c:v>
                </c:pt>
                <c:pt idx="1">
                  <c:v>13.887044321957067</c:v>
                </c:pt>
                <c:pt idx="2">
                  <c:v>13.887044321957067</c:v>
                </c:pt>
                <c:pt idx="3">
                  <c:v>13.887044321957067</c:v>
                </c:pt>
                <c:pt idx="4">
                  <c:v>13.887044321957067</c:v>
                </c:pt>
                <c:pt idx="5">
                  <c:v>13.887044321957067</c:v>
                </c:pt>
                <c:pt idx="6">
                  <c:v>13.887044321957067</c:v>
                </c:pt>
                <c:pt idx="7">
                  <c:v>13.887044321957067</c:v>
                </c:pt>
                <c:pt idx="8">
                  <c:v>13.887044321957067</c:v>
                </c:pt>
                <c:pt idx="9">
                  <c:v>13.887044321957067</c:v>
                </c:pt>
                <c:pt idx="10">
                  <c:v>13.887044321957067</c:v>
                </c:pt>
                <c:pt idx="11">
                  <c:v>13.887044321957067</c:v>
                </c:pt>
                <c:pt idx="12">
                  <c:v>13.887044321957067</c:v>
                </c:pt>
                <c:pt idx="13">
                  <c:v>13.887044321957067</c:v>
                </c:pt>
                <c:pt idx="14">
                  <c:v>13.887044321957067</c:v>
                </c:pt>
                <c:pt idx="15">
                  <c:v>13.887044321957067</c:v>
                </c:pt>
                <c:pt idx="16">
                  <c:v>13.887044321957067</c:v>
                </c:pt>
                <c:pt idx="17">
                  <c:v>13.887044321957067</c:v>
                </c:pt>
                <c:pt idx="18">
                  <c:v>13.887044321957067</c:v>
                </c:pt>
                <c:pt idx="19">
                  <c:v>13.887044321957067</c:v>
                </c:pt>
                <c:pt idx="20">
                  <c:v>13.887044321957067</c:v>
                </c:pt>
                <c:pt idx="21">
                  <c:v>13.887044321957067</c:v>
                </c:pt>
                <c:pt idx="22">
                  <c:v>13.887044321957067</c:v>
                </c:pt>
                <c:pt idx="23">
                  <c:v>13.887044321957067</c:v>
                </c:pt>
                <c:pt idx="24">
                  <c:v>13.887044321957067</c:v>
                </c:pt>
                <c:pt idx="25">
                  <c:v>13.887044321957067</c:v>
                </c:pt>
                <c:pt idx="26">
                  <c:v>13.887044321957067</c:v>
                </c:pt>
                <c:pt idx="27">
                  <c:v>13.887044321957067</c:v>
                </c:pt>
                <c:pt idx="28">
                  <c:v>13.887044321957067</c:v>
                </c:pt>
                <c:pt idx="29">
                  <c:v>13.887044321957067</c:v>
                </c:pt>
                <c:pt idx="30">
                  <c:v>13.887044321957067</c:v>
                </c:pt>
                <c:pt idx="31">
                  <c:v>13.887044321957067</c:v>
                </c:pt>
                <c:pt idx="32">
                  <c:v>13.887044321957067</c:v>
                </c:pt>
                <c:pt idx="33">
                  <c:v>13.887044321957067</c:v>
                </c:pt>
                <c:pt idx="34">
                  <c:v>13.887044321957067</c:v>
                </c:pt>
                <c:pt idx="35">
                  <c:v>13.887044321957067</c:v>
                </c:pt>
              </c:numCache>
            </c:numRef>
          </c:val>
        </c:ser>
        <c:marker val="1"/>
        <c:axId val="80755712"/>
        <c:axId val="80766464"/>
      </c:lineChart>
      <c:catAx>
        <c:axId val="807557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Frequency - Hz</a:t>
                </a:r>
              </a:p>
            </c:rich>
          </c:tx>
          <c:layout>
            <c:manualLayout>
              <c:xMode val="edge"/>
              <c:yMode val="edge"/>
              <c:x val="0.45063729305372729"/>
              <c:y val="0.926511561145528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80766464"/>
        <c:crosses val="autoZero"/>
        <c:auto val="1"/>
        <c:lblAlgn val="ctr"/>
        <c:lblOffset val="100"/>
        <c:tickLblSkip val="2"/>
        <c:tickMarkSkip val="1"/>
      </c:catAx>
      <c:valAx>
        <c:axId val="8076646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ohm</a:t>
                </a:r>
              </a:p>
            </c:rich>
          </c:tx>
          <c:layout>
            <c:manualLayout>
              <c:xMode val="edge"/>
              <c:yMode val="edge"/>
              <c:x val="7.9617896299245157E-3"/>
              <c:y val="0.42782261888589607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80755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458660506646572"/>
          <c:y val="0.34908225958174327"/>
          <c:w val="0.11624212859689786"/>
          <c:h val="0.2230976846950990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Equalized SPL (free-space, 1m, 2.83V)</a:t>
            </a:r>
          </a:p>
        </c:rich>
      </c:tx>
      <c:layout>
        <c:manualLayout>
          <c:xMode val="edge"/>
          <c:yMode val="edge"/>
          <c:x val="0.35987590486039311"/>
          <c:y val="2.03389830508474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8252326783867626E-2"/>
          <c:y val="0.12372881355932204"/>
          <c:w val="0.79007238883143716"/>
          <c:h val="0.80169491525423764"/>
        </c:manualLayout>
      </c:layout>
      <c:lineChart>
        <c:grouping val="standard"/>
        <c:ser>
          <c:idx val="0"/>
          <c:order val="0"/>
          <c:tx>
            <c:v>driver in box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'Spec''s'!$T$35:$T$62</c:f>
              <c:numCache>
                <c:formatCode>0</c:formatCod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16.406707120152749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32.813414240305477</c:v>
                </c:pt>
                <c:pt idx="13">
                  <c:v>36.228946570556218</c:v>
                </c:pt>
                <c:pt idx="14">
                  <c:v>39.999999999999943</c:v>
                </c:pt>
                <c:pt idx="15">
                  <c:v>44.163580546952424</c:v>
                </c:pt>
                <c:pt idx="16">
                  <c:v>48.760546168178941</c:v>
                </c:pt>
                <c:pt idx="17">
                  <c:v>53.836007705294158</c:v>
                </c:pt>
                <c:pt idx="18">
                  <c:v>59.439771565477834</c:v>
                </c:pt>
                <c:pt idx="19">
                  <c:v>65.626828480610911</c:v>
                </c:pt>
                <c:pt idx="20">
                  <c:v>72.457893141112393</c:v>
                </c:pt>
                <c:pt idx="21">
                  <c:v>79.999999999999844</c:v>
                </c:pt>
                <c:pt idx="22">
                  <c:v>88.327161093904806</c:v>
                </c:pt>
                <c:pt idx="23">
                  <c:v>97.521092336357825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'Spec''s'!$U$35:$U$62</c:f>
              <c:numCache>
                <c:formatCode>0</c:formatCode>
                <c:ptCount val="28"/>
                <c:pt idx="0">
                  <c:v>45.477687042616417</c:v>
                </c:pt>
                <c:pt idx="1">
                  <c:v>47.252493401256601</c:v>
                </c:pt>
                <c:pt idx="2">
                  <c:v>49.039173841968172</c:v>
                </c:pt>
                <c:pt idx="3">
                  <c:v>50.840255973388935</c:v>
                </c:pt>
                <c:pt idx="4">
                  <c:v>52.658760007629269</c:v>
                </c:pt>
                <c:pt idx="5">
                  <c:v>54.498253182087012</c:v>
                </c:pt>
                <c:pt idx="6">
                  <c:v>56.362866769025509</c:v>
                </c:pt>
                <c:pt idx="7">
                  <c:v>58.257219424260889</c:v>
                </c:pt>
                <c:pt idx="8">
                  <c:v>60.186129043752715</c:v>
                </c:pt>
                <c:pt idx="9">
                  <c:v>62.153868377897986</c:v>
                </c:pt>
                <c:pt idx="10">
                  <c:v>64.1624620138425</c:v>
                </c:pt>
                <c:pt idx="11">
                  <c:v>66.208025483236838</c:v>
                </c:pt>
                <c:pt idx="12">
                  <c:v>68.273325224178279</c:v>
                </c:pt>
                <c:pt idx="13">
                  <c:v>70.314010933751632</c:v>
                </c:pt>
                <c:pt idx="14">
                  <c:v>72.238153398763728</c:v>
                </c:pt>
                <c:pt idx="15">
                  <c:v>73.892205128445852</c:v>
                </c:pt>
                <c:pt idx="16">
                  <c:v>75.094444849254771</c:v>
                </c:pt>
                <c:pt idx="17">
                  <c:v>75.743168204175419</c:v>
                </c:pt>
                <c:pt idx="18">
                  <c:v>75.903055725897843</c:v>
                </c:pt>
                <c:pt idx="19">
                  <c:v>75.748312947729275</c:v>
                </c:pt>
                <c:pt idx="20">
                  <c:v>75.445359932283509</c:v>
                </c:pt>
                <c:pt idx="21">
                  <c:v>75.100695112280604</c:v>
                </c:pt>
                <c:pt idx="22">
                  <c:v>74.768184585160583</c:v>
                </c:pt>
                <c:pt idx="23">
                  <c:v>74.470086567930508</c:v>
                </c:pt>
                <c:pt idx="24">
                  <c:v>74.21264541212885</c:v>
                </c:pt>
                <c:pt idx="25">
                  <c:v>73.994828300427088</c:v>
                </c:pt>
                <c:pt idx="26">
                  <c:v>73.81269883544627</c:v>
                </c:pt>
                <c:pt idx="27">
                  <c:v>73.661477628395119</c:v>
                </c:pt>
              </c:numCache>
            </c:numRef>
          </c:val>
        </c:ser>
        <c:ser>
          <c:idx val="1"/>
          <c:order val="1"/>
          <c:tx>
            <c:v>target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'Spec''s'!$T$35:$T$62</c:f>
              <c:numCache>
                <c:formatCode>0</c:formatCod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16.406707120152749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32.813414240305477</c:v>
                </c:pt>
                <c:pt idx="13">
                  <c:v>36.228946570556218</c:v>
                </c:pt>
                <c:pt idx="14">
                  <c:v>39.999999999999943</c:v>
                </c:pt>
                <c:pt idx="15">
                  <c:v>44.163580546952424</c:v>
                </c:pt>
                <c:pt idx="16">
                  <c:v>48.760546168178941</c:v>
                </c:pt>
                <c:pt idx="17">
                  <c:v>53.836007705294158</c:v>
                </c:pt>
                <c:pt idx="18">
                  <c:v>59.439771565477834</c:v>
                </c:pt>
                <c:pt idx="19">
                  <c:v>65.626828480610911</c:v>
                </c:pt>
                <c:pt idx="20">
                  <c:v>72.457893141112393</c:v>
                </c:pt>
                <c:pt idx="21">
                  <c:v>79.999999999999844</c:v>
                </c:pt>
                <c:pt idx="22">
                  <c:v>88.327161093904806</c:v>
                </c:pt>
                <c:pt idx="23">
                  <c:v>97.521092336357825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'Spec''s'!$V$35:$V$62</c:f>
              <c:numCache>
                <c:formatCode>0</c:formatCode>
                <c:ptCount val="28"/>
                <c:pt idx="0">
                  <c:v>74.020599913279625</c:v>
                </c:pt>
                <c:pt idx="1">
                  <c:v>75.368402742263044</c:v>
                </c:pt>
                <c:pt idx="2">
                  <c:v>76.655235784134291</c:v>
                </c:pt>
                <c:pt idx="3">
                  <c:v>77.874828091923504</c:v>
                </c:pt>
                <c:pt idx="4">
                  <c:v>79.021400968640194</c:v>
                </c:pt>
                <c:pt idx="5">
                  <c:v>80.089997467219405</c:v>
                </c:pt>
                <c:pt idx="6">
                  <c:v>81.076800508515163</c:v>
                </c:pt>
                <c:pt idx="7">
                  <c:v>81.979400086720375</c:v>
                </c:pt>
                <c:pt idx="8">
                  <c:v>82.79697191230936</c:v>
                </c:pt>
                <c:pt idx="9">
                  <c:v>83.530340274807756</c:v>
                </c:pt>
                <c:pt idx="10">
                  <c:v>84.181915180022742</c:v>
                </c:pt>
                <c:pt idx="11">
                  <c:v>84.755513707100221</c:v>
                </c:pt>
                <c:pt idx="12">
                  <c:v>85.25609280310519</c:v>
                </c:pt>
                <c:pt idx="13">
                  <c:v>85.689431165028097</c:v>
                </c:pt>
                <c:pt idx="14">
                  <c:v>86.061799739838861</c:v>
                </c:pt>
                <c:pt idx="15">
                  <c:v>86.379654753910089</c:v>
                </c:pt>
                <c:pt idx="16">
                  <c:v>86.649376964516094</c:v>
                </c:pt>
                <c:pt idx="17">
                  <c:v>86.877069356570544</c:v>
                </c:pt>
                <c:pt idx="18">
                  <c:v>87.068415434258668</c:v>
                </c:pt>
                <c:pt idx="19">
                  <c:v>87.228593008850979</c:v>
                </c:pt>
                <c:pt idx="20">
                  <c:v>87.362234244801641</c:v>
                </c:pt>
                <c:pt idx="21">
                  <c:v>87.473421225553011</c:v>
                </c:pt>
                <c:pt idx="22">
                  <c:v>87.565706646934501</c:v>
                </c:pt>
                <c:pt idx="23">
                  <c:v>87.642150647324542</c:v>
                </c:pt>
                <c:pt idx="24">
                  <c:v>87.705366613230979</c:v>
                </c:pt>
                <c:pt idx="25">
                  <c:v>87.757570641072959</c:v>
                </c:pt>
                <c:pt idx="26">
                  <c:v>87.800630961781025</c:v>
                </c:pt>
                <c:pt idx="27">
                  <c:v>87.836114951142349</c:v>
                </c:pt>
              </c:numCache>
            </c:numRef>
          </c:val>
        </c:ser>
        <c:ser>
          <c:idx val="2"/>
          <c:order val="2"/>
          <c:tx>
            <c:v>equalizer gain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'Spec''s'!$T$35:$T$62</c:f>
              <c:numCache>
                <c:formatCode>0</c:formatCod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16.406707120152749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32.813414240305477</c:v>
                </c:pt>
                <c:pt idx="13">
                  <c:v>36.228946570556218</c:v>
                </c:pt>
                <c:pt idx="14">
                  <c:v>39.999999999999943</c:v>
                </c:pt>
                <c:pt idx="15">
                  <c:v>44.163580546952424</c:v>
                </c:pt>
                <c:pt idx="16">
                  <c:v>48.760546168178941</c:v>
                </c:pt>
                <c:pt idx="17">
                  <c:v>53.836007705294158</c:v>
                </c:pt>
                <c:pt idx="18">
                  <c:v>59.439771565477834</c:v>
                </c:pt>
                <c:pt idx="19">
                  <c:v>65.626828480610911</c:v>
                </c:pt>
                <c:pt idx="20">
                  <c:v>72.457893141112393</c:v>
                </c:pt>
                <c:pt idx="21">
                  <c:v>79.999999999999844</c:v>
                </c:pt>
                <c:pt idx="22">
                  <c:v>88.327161093904806</c:v>
                </c:pt>
                <c:pt idx="23">
                  <c:v>97.521092336357825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'Spec''s'!$W$35:$W$62</c:f>
              <c:numCache>
                <c:formatCode>0</c:formatCode>
                <c:ptCount val="28"/>
                <c:pt idx="0">
                  <c:v>28.542912870663208</c:v>
                </c:pt>
                <c:pt idx="1">
                  <c:v>28.115909341006443</c:v>
                </c:pt>
                <c:pt idx="2">
                  <c:v>27.61606194216612</c:v>
                </c:pt>
                <c:pt idx="3">
                  <c:v>27.03457211853457</c:v>
                </c:pt>
                <c:pt idx="4">
                  <c:v>26.362640961010925</c:v>
                </c:pt>
                <c:pt idx="5">
                  <c:v>25.591744285132393</c:v>
                </c:pt>
                <c:pt idx="6">
                  <c:v>24.713933739489654</c:v>
                </c:pt>
                <c:pt idx="7">
                  <c:v>23.722180662459486</c:v>
                </c:pt>
                <c:pt idx="8">
                  <c:v>22.610842868556645</c:v>
                </c:pt>
                <c:pt idx="9">
                  <c:v>21.37647189690977</c:v>
                </c:pt>
                <c:pt idx="10">
                  <c:v>20.019453166180242</c:v>
                </c:pt>
                <c:pt idx="11">
                  <c:v>18.547488223863382</c:v>
                </c:pt>
                <c:pt idx="12">
                  <c:v>16.982767578926911</c:v>
                </c:pt>
                <c:pt idx="13">
                  <c:v>15.375420231276465</c:v>
                </c:pt>
                <c:pt idx="14">
                  <c:v>13.823646341075133</c:v>
                </c:pt>
                <c:pt idx="15">
                  <c:v>12.487449625464237</c:v>
                </c:pt>
                <c:pt idx="16">
                  <c:v>11.554932115261323</c:v>
                </c:pt>
                <c:pt idx="17">
                  <c:v>11.133901152395126</c:v>
                </c:pt>
                <c:pt idx="18">
                  <c:v>11.165359708360825</c:v>
                </c:pt>
                <c:pt idx="19">
                  <c:v>11.480280061121704</c:v>
                </c:pt>
                <c:pt idx="20">
                  <c:v>11.916874312518132</c:v>
                </c:pt>
                <c:pt idx="21">
                  <c:v>12.372726113272407</c:v>
                </c:pt>
                <c:pt idx="22">
                  <c:v>12.797522061773918</c:v>
                </c:pt>
                <c:pt idx="23">
                  <c:v>13.172064079394033</c:v>
                </c:pt>
                <c:pt idx="24">
                  <c:v>13.492721201102128</c:v>
                </c:pt>
                <c:pt idx="25">
                  <c:v>13.762742340645872</c:v>
                </c:pt>
                <c:pt idx="26">
                  <c:v>13.987932126334755</c:v>
                </c:pt>
                <c:pt idx="27">
                  <c:v>14.17463732274723</c:v>
                </c:pt>
              </c:numCache>
            </c:numRef>
          </c:val>
        </c:ser>
        <c:ser>
          <c:idx val="3"/>
          <c:order val="3"/>
          <c:tx>
            <c:v>ref. sensitivity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'Spec''s'!$X$35:$X$62</c:f>
              <c:numCache>
                <c:formatCode>General</c:formatCode>
                <c:ptCount val="28"/>
                <c:pt idx="0">
                  <c:v>88</c:v>
                </c:pt>
                <c:pt idx="1">
                  <c:v>88</c:v>
                </c:pt>
                <c:pt idx="2">
                  <c:v>88</c:v>
                </c:pt>
                <c:pt idx="3">
                  <c:v>88</c:v>
                </c:pt>
                <c:pt idx="4">
                  <c:v>88</c:v>
                </c:pt>
                <c:pt idx="5">
                  <c:v>88</c:v>
                </c:pt>
                <c:pt idx="6">
                  <c:v>88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  <c:pt idx="10">
                  <c:v>88</c:v>
                </c:pt>
                <c:pt idx="11">
                  <c:v>88</c:v>
                </c:pt>
                <c:pt idx="12">
                  <c:v>88</c:v>
                </c:pt>
                <c:pt idx="13">
                  <c:v>88</c:v>
                </c:pt>
                <c:pt idx="14">
                  <c:v>88</c:v>
                </c:pt>
                <c:pt idx="15">
                  <c:v>88</c:v>
                </c:pt>
                <c:pt idx="16">
                  <c:v>88</c:v>
                </c:pt>
                <c:pt idx="17">
                  <c:v>88</c:v>
                </c:pt>
                <c:pt idx="18">
                  <c:v>88</c:v>
                </c:pt>
                <c:pt idx="19">
                  <c:v>88</c:v>
                </c:pt>
                <c:pt idx="20">
                  <c:v>88</c:v>
                </c:pt>
                <c:pt idx="21">
                  <c:v>88</c:v>
                </c:pt>
                <c:pt idx="22">
                  <c:v>88</c:v>
                </c:pt>
                <c:pt idx="23">
                  <c:v>88</c:v>
                </c:pt>
                <c:pt idx="24">
                  <c:v>88</c:v>
                </c:pt>
                <c:pt idx="25">
                  <c:v>88</c:v>
                </c:pt>
                <c:pt idx="26">
                  <c:v>88</c:v>
                </c:pt>
                <c:pt idx="27">
                  <c:v>88</c:v>
                </c:pt>
              </c:numCache>
            </c:numRef>
          </c:val>
        </c:ser>
        <c:marker val="1"/>
        <c:axId val="80855040"/>
        <c:axId val="80857344"/>
      </c:lineChart>
      <c:catAx>
        <c:axId val="808550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Frequency - Hz</a:t>
                </a:r>
              </a:p>
            </c:rich>
          </c:tx>
          <c:layout>
            <c:manualLayout>
              <c:xMode val="edge"/>
              <c:yMode val="edge"/>
              <c:x val="0.41261633919338175"/>
              <c:y val="0.9440677966101696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80857344"/>
        <c:crosses val="autoZero"/>
        <c:auto val="1"/>
        <c:lblAlgn val="ctr"/>
        <c:lblOffset val="100"/>
        <c:tickLblSkip val="1"/>
        <c:tickMarkSkip val="1"/>
      </c:catAx>
      <c:valAx>
        <c:axId val="80857344"/>
        <c:scaling>
          <c:orientation val="minMax"/>
          <c:max val="100"/>
          <c:min val="-1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dB</a:t>
                </a:r>
              </a:p>
            </c:rich>
          </c:tx>
          <c:layout>
            <c:manualLayout>
              <c:xMode val="edge"/>
              <c:yMode val="edge"/>
              <c:x val="1.0341261633919347E-2"/>
              <c:y val="0.50677966101694916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80855040"/>
        <c:crosses val="autoZero"/>
        <c:crossBetween val="between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6256463288521197"/>
          <c:y val="0.42203389830508481"/>
          <c:w val="0.17269906928645296"/>
          <c:h val="0.2542372881355930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2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8"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8" workbookViewId="0"/>
  </sheetViews>
  <pageMargins left="0.75" right="0.75" top="1" bottom="1" header="0.5" footer="0.5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68" workbookViewId="0"/>
  </sheetViews>
  <pageMargins left="0.75" right="0.75" top="1" bottom="1" header="0.5" footer="0.5"/>
  <pageSetup paperSize="9" orientation="landscape" verticalDpi="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63" workbookViewId="0"/>
  </sheetViews>
  <pageMargins left="0.75" right="0.75" top="1" bottom="1" header="0.5" footer="0.5"/>
  <headerFooter alignWithMargins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68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68" workbookViewId="0"/>
  </sheetViews>
  <pageMargins left="0.75" right="0.75" top="1" bottom="1" header="0.5" footer="0.5"/>
  <headerFooter alignWithMargins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63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3</xdr:row>
      <xdr:rowOff>123825</xdr:rowOff>
    </xdr:from>
    <xdr:to>
      <xdr:col>14</xdr:col>
      <xdr:colOff>0</xdr:colOff>
      <xdr:row>26</xdr:row>
      <xdr:rowOff>28575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62"/>
  <sheetViews>
    <sheetView showGridLines="0" tabSelected="1" topLeftCell="A2" zoomScale="210" zoomScaleNormal="210" workbookViewId="0">
      <selection activeCell="U7" sqref="U7"/>
    </sheetView>
  </sheetViews>
  <sheetFormatPr defaultRowHeight="12.75"/>
  <cols>
    <col min="1" max="1" width="2.42578125" customWidth="1"/>
    <col min="5" max="5" width="10.5703125" customWidth="1"/>
    <col min="7" max="7" width="2.42578125" customWidth="1"/>
    <col min="9" max="9" width="10.7109375" customWidth="1"/>
    <col min="11" max="11" width="2.42578125" customWidth="1"/>
    <col min="13" max="13" width="2.42578125" customWidth="1"/>
    <col min="19" max="19" width="10.42578125" customWidth="1"/>
    <col min="21" max="21" width="9.28515625" customWidth="1"/>
    <col min="27" max="27" width="4.140625" customWidth="1"/>
    <col min="32" max="32" width="4.7109375" customWidth="1"/>
  </cols>
  <sheetData>
    <row r="2" spans="2:24">
      <c r="B2" s="37" t="s">
        <v>135</v>
      </c>
      <c r="J2" s="52"/>
      <c r="L2" s="38"/>
      <c r="N2" s="38"/>
    </row>
    <row r="3" spans="2:24">
      <c r="B3" s="2" t="s">
        <v>123</v>
      </c>
      <c r="G3" s="37" t="s">
        <v>77</v>
      </c>
      <c r="L3" s="38"/>
      <c r="M3" s="38"/>
      <c r="N3" s="38"/>
    </row>
    <row r="5" spans="2:24">
      <c r="B5" s="2" t="s">
        <v>32</v>
      </c>
      <c r="H5" t="s">
        <v>33</v>
      </c>
      <c r="L5" t="s">
        <v>47</v>
      </c>
      <c r="Q5" t="s">
        <v>152</v>
      </c>
      <c r="U5" s="20" t="s">
        <v>128</v>
      </c>
      <c r="V5" s="20"/>
      <c r="W5" s="20"/>
      <c r="X5" s="20"/>
    </row>
    <row r="6" spans="2:24">
      <c r="B6" s="4" t="s">
        <v>35</v>
      </c>
      <c r="C6" s="18"/>
      <c r="D6" s="19"/>
      <c r="E6" s="19"/>
      <c r="F6" s="6"/>
      <c r="H6" s="79" t="s">
        <v>36</v>
      </c>
      <c r="I6" s="5">
        <v>10</v>
      </c>
      <c r="J6" s="6" t="s">
        <v>17</v>
      </c>
      <c r="K6" s="20"/>
      <c r="L6" s="4" t="s">
        <v>0</v>
      </c>
      <c r="M6" s="19"/>
      <c r="N6" s="25">
        <f>C7</f>
        <v>6</v>
      </c>
      <c r="O6" s="6" t="s">
        <v>12</v>
      </c>
      <c r="Q6" s="4" t="s">
        <v>150</v>
      </c>
      <c r="R6" s="5">
        <v>180</v>
      </c>
      <c r="S6" s="6" t="s">
        <v>56</v>
      </c>
      <c r="U6" s="60">
        <v>10</v>
      </c>
      <c r="V6" s="61" t="s">
        <v>125</v>
      </c>
      <c r="W6" s="35">
        <f>61.02*U6</f>
        <v>610.20000000000005</v>
      </c>
      <c r="X6" s="6" t="s">
        <v>124</v>
      </c>
    </row>
    <row r="7" spans="2:24">
      <c r="B7" s="81" t="s">
        <v>0</v>
      </c>
      <c r="C7" s="10">
        <v>6</v>
      </c>
      <c r="D7" s="20" t="s">
        <v>69</v>
      </c>
      <c r="E7" s="20" t="s">
        <v>78</v>
      </c>
      <c r="F7" s="9"/>
      <c r="H7" s="80" t="s">
        <v>25</v>
      </c>
      <c r="I7" s="10">
        <v>50</v>
      </c>
      <c r="J7" s="9"/>
      <c r="K7" s="20"/>
      <c r="L7" s="7" t="s">
        <v>1</v>
      </c>
      <c r="M7" s="20"/>
      <c r="N7" s="21">
        <f>C8</f>
        <v>1.5</v>
      </c>
      <c r="O7" s="9" t="s">
        <v>13</v>
      </c>
      <c r="Q7" s="7" t="s">
        <v>151</v>
      </c>
      <c r="R7" s="10">
        <v>8</v>
      </c>
      <c r="S7" s="9" t="s">
        <v>12</v>
      </c>
      <c r="U7" s="62">
        <v>3051</v>
      </c>
      <c r="V7" s="47" t="s">
        <v>126</v>
      </c>
      <c r="W7" s="16">
        <f>U7/61.02</f>
        <v>50</v>
      </c>
      <c r="X7" s="9" t="s">
        <v>17</v>
      </c>
    </row>
    <row r="8" spans="2:24">
      <c r="B8" s="81" t="s">
        <v>1</v>
      </c>
      <c r="C8" s="10">
        <v>1.5</v>
      </c>
      <c r="D8" s="20" t="s">
        <v>76</v>
      </c>
      <c r="E8" s="20"/>
      <c r="F8" s="9"/>
      <c r="H8" s="69"/>
      <c r="I8" s="20"/>
      <c r="J8" s="9"/>
      <c r="K8" s="20"/>
      <c r="L8" s="7" t="s">
        <v>20</v>
      </c>
      <c r="M8" s="20"/>
      <c r="N8" s="16">
        <f>1000*C15/(C10^2)</f>
        <v>826.44628099173553</v>
      </c>
      <c r="O8" s="9" t="s">
        <v>24</v>
      </c>
      <c r="Q8" s="7" t="s">
        <v>160</v>
      </c>
      <c r="R8" s="10">
        <v>12</v>
      </c>
      <c r="S8" s="9" t="s">
        <v>55</v>
      </c>
      <c r="U8" s="62">
        <v>2868</v>
      </c>
      <c r="V8" s="47" t="s">
        <v>126</v>
      </c>
      <c r="W8" s="11">
        <f>U8/1728</f>
        <v>1.6597222222222223</v>
      </c>
      <c r="X8" s="9" t="s">
        <v>127</v>
      </c>
    </row>
    <row r="9" spans="2:24">
      <c r="B9" s="81" t="s">
        <v>2</v>
      </c>
      <c r="C9" s="10">
        <v>62.4</v>
      </c>
      <c r="D9" s="20" t="s">
        <v>14</v>
      </c>
      <c r="E9" s="31">
        <f>1/(2*PI()*SQRT(E15*E16*0.000000001))</f>
        <v>35.367765131532295</v>
      </c>
      <c r="F9" s="9" t="s">
        <v>14</v>
      </c>
      <c r="H9" s="7" t="s">
        <v>29</v>
      </c>
      <c r="I9" s="8">
        <f>I6/(1.2*(343*C18*0.0001)^2)</f>
        <v>0.85535762109186553</v>
      </c>
      <c r="J9" s="9" t="s">
        <v>16</v>
      </c>
      <c r="K9" s="20"/>
      <c r="L9" s="7" t="s">
        <v>19</v>
      </c>
      <c r="M9" s="20"/>
      <c r="N9" s="16">
        <f>I15*C10^2</f>
        <v>12.584924610404334</v>
      </c>
      <c r="O9" s="9" t="s">
        <v>13</v>
      </c>
      <c r="Q9" s="69"/>
      <c r="R9" s="20"/>
      <c r="S9" s="9"/>
      <c r="U9" s="62">
        <v>1.77</v>
      </c>
      <c r="V9" s="20" t="s">
        <v>144</v>
      </c>
      <c r="W9" s="16">
        <f>28.32*U9</f>
        <v>50.126400000000004</v>
      </c>
      <c r="X9" s="9" t="s">
        <v>17</v>
      </c>
    </row>
    <row r="10" spans="2:24">
      <c r="B10" s="81" t="s">
        <v>11</v>
      </c>
      <c r="C10" s="10">
        <v>5.5</v>
      </c>
      <c r="D10" s="20" t="s">
        <v>70</v>
      </c>
      <c r="E10" s="32"/>
      <c r="F10" s="9"/>
      <c r="H10" s="7" t="s">
        <v>79</v>
      </c>
      <c r="I10" s="16">
        <f>I9*C10^2</f>
        <v>25.874568038028933</v>
      </c>
      <c r="J10" s="9" t="s">
        <v>13</v>
      </c>
      <c r="K10" s="20"/>
      <c r="L10" s="12" t="s">
        <v>21</v>
      </c>
      <c r="M10" s="23"/>
      <c r="N10" s="26">
        <f>((C10^2)/C14)*I12/(I12+((C10^2)/C14))</f>
        <v>31.996782412485942</v>
      </c>
      <c r="O10" s="14" t="s">
        <v>12</v>
      </c>
      <c r="Q10" s="7" t="s">
        <v>154</v>
      </c>
      <c r="R10" s="16">
        <f>1.41*SQRT(R6*R7)</f>
        <v>53.505738010048979</v>
      </c>
      <c r="S10" s="9" t="s">
        <v>161</v>
      </c>
      <c r="U10" s="63">
        <v>3500</v>
      </c>
      <c r="V10" s="23" t="s">
        <v>144</v>
      </c>
      <c r="W10" s="26">
        <f>U10/35.31</f>
        <v>99.122061738884156</v>
      </c>
      <c r="X10" s="14" t="s">
        <v>142</v>
      </c>
    </row>
    <row r="11" spans="2:24">
      <c r="B11" s="81" t="s">
        <v>3</v>
      </c>
      <c r="C11" s="10">
        <v>3.63</v>
      </c>
      <c r="D11" s="20"/>
      <c r="E11" s="33">
        <f>E14/(2*PI()*E9*E16/1000)</f>
        <v>6.3856960408684547</v>
      </c>
      <c r="F11" s="9"/>
      <c r="H11" s="7" t="s">
        <v>30</v>
      </c>
      <c r="I11" s="11">
        <f>C10^2/I12</f>
        <v>7.5407560361309842E-2</v>
      </c>
      <c r="J11" s="9" t="s">
        <v>15</v>
      </c>
      <c r="Q11" s="12" t="s">
        <v>153</v>
      </c>
      <c r="R11" s="26">
        <f>1.41*SQRT(R6/R7)</f>
        <v>6.6882172512561224</v>
      </c>
      <c r="S11" s="14" t="s">
        <v>162</v>
      </c>
    </row>
    <row r="12" spans="2:24">
      <c r="B12" s="81" t="s">
        <v>4</v>
      </c>
      <c r="C12" s="10">
        <v>0.63</v>
      </c>
      <c r="D12" s="20"/>
      <c r="E12" s="33">
        <f>C7/(2*PI()*E9*E16/1000)</f>
        <v>1.1019283746556474</v>
      </c>
      <c r="F12" s="9"/>
      <c r="H12" s="12" t="s">
        <v>31</v>
      </c>
      <c r="I12" s="13">
        <f>I7*2*PI()*I17*I10/1000</f>
        <v>401.15341028219621</v>
      </c>
      <c r="J12" s="14" t="s">
        <v>12</v>
      </c>
      <c r="L12" t="s">
        <v>82</v>
      </c>
    </row>
    <row r="13" spans="2:24">
      <c r="B13" s="81" t="s">
        <v>5</v>
      </c>
      <c r="C13" s="10">
        <v>0.54</v>
      </c>
      <c r="D13" s="20"/>
      <c r="E13" s="33">
        <f>E11*E12/(E11+E12)</f>
        <v>0.93976130062964003</v>
      </c>
      <c r="F13" s="9"/>
      <c r="K13" s="20"/>
      <c r="L13" s="4" t="s">
        <v>83</v>
      </c>
      <c r="M13" s="19"/>
      <c r="N13" s="5">
        <v>20</v>
      </c>
      <c r="O13" s="6" t="s">
        <v>14</v>
      </c>
      <c r="Q13" t="s">
        <v>155</v>
      </c>
      <c r="R13" s="1"/>
    </row>
    <row r="14" spans="2:24">
      <c r="B14" s="81" t="s">
        <v>6</v>
      </c>
      <c r="C14" s="10">
        <v>0.87</v>
      </c>
      <c r="D14" s="20" t="s">
        <v>71</v>
      </c>
      <c r="E14" s="32">
        <f>(C10^2)/C14</f>
        <v>34.770114942528735</v>
      </c>
      <c r="F14" s="9" t="s">
        <v>12</v>
      </c>
      <c r="H14" s="24" t="s">
        <v>34</v>
      </c>
      <c r="K14" s="20"/>
      <c r="L14" s="7" t="s">
        <v>84</v>
      </c>
      <c r="M14" s="20"/>
      <c r="N14" s="10">
        <v>0.5</v>
      </c>
      <c r="O14" s="9"/>
      <c r="Q14" s="4" t="s">
        <v>156</v>
      </c>
      <c r="R14" s="5">
        <v>400</v>
      </c>
      <c r="S14" s="6" t="s">
        <v>46</v>
      </c>
      <c r="U14" t="s">
        <v>138</v>
      </c>
    </row>
    <row r="15" spans="2:24">
      <c r="B15" s="81" t="s">
        <v>7</v>
      </c>
      <c r="C15" s="10">
        <v>25</v>
      </c>
      <c r="D15" s="20" t="s">
        <v>72</v>
      </c>
      <c r="E15" s="31">
        <f>1000*C15/(C10^2)</f>
        <v>826.44628099173553</v>
      </c>
      <c r="F15" s="9" t="s">
        <v>24</v>
      </c>
      <c r="H15" s="4" t="s">
        <v>22</v>
      </c>
      <c r="I15" s="15">
        <f>C16*I9/(C16+I9)</f>
        <v>0.41603056563320112</v>
      </c>
      <c r="J15" s="6" t="s">
        <v>16</v>
      </c>
      <c r="K15" s="20"/>
      <c r="L15" s="69"/>
      <c r="M15" s="20"/>
      <c r="N15" s="20"/>
      <c r="O15" s="9"/>
      <c r="Q15" s="69"/>
      <c r="R15" s="20"/>
      <c r="S15" s="9"/>
      <c r="U15" s="4" t="s">
        <v>137</v>
      </c>
      <c r="V15" s="64">
        <f>0.014*C18*C19/I6</f>
        <v>0.44589999999999996</v>
      </c>
      <c r="W15" s="6" t="s">
        <v>112</v>
      </c>
    </row>
    <row r="16" spans="2:24">
      <c r="B16" s="81" t="s">
        <v>9</v>
      </c>
      <c r="C16" s="10">
        <v>0.81</v>
      </c>
      <c r="D16" s="20" t="s">
        <v>73</v>
      </c>
      <c r="E16" s="31">
        <f>C16*C10^2</f>
        <v>24.502500000000001</v>
      </c>
      <c r="F16" s="9" t="s">
        <v>13</v>
      </c>
      <c r="H16" s="7" t="s">
        <v>23</v>
      </c>
      <c r="I16" s="16">
        <f>I15*I6/I9</f>
        <v>4.8638201773678871</v>
      </c>
      <c r="J16" s="9" t="s">
        <v>17</v>
      </c>
      <c r="K16" s="20"/>
      <c r="L16" s="7" t="s">
        <v>85</v>
      </c>
      <c r="M16" s="20"/>
      <c r="N16" s="51">
        <f>N13*SQRT(-(1-1/(2*N14^2))+SQRT(1+(1-1/(2*N14^2))^2))</f>
        <v>31.075479480600748</v>
      </c>
      <c r="O16" s="9" t="s">
        <v>14</v>
      </c>
      <c r="P16" t="s">
        <v>57</v>
      </c>
      <c r="Q16" s="12" t="s">
        <v>157</v>
      </c>
      <c r="R16" s="13">
        <f>170*343/R14</f>
        <v>145.77500000000001</v>
      </c>
      <c r="S16" s="14" t="s">
        <v>14</v>
      </c>
      <c r="U16" s="12" t="s">
        <v>137</v>
      </c>
      <c r="V16" s="13">
        <f>20*LOG(V15/100)</f>
        <v>-47.015250553007853</v>
      </c>
      <c r="W16" s="14" t="s">
        <v>60</v>
      </c>
    </row>
    <row r="17" spans="2:33">
      <c r="B17" s="81" t="s">
        <v>8</v>
      </c>
      <c r="C17" s="10">
        <v>9.1999999999999993</v>
      </c>
      <c r="D17" s="20" t="s">
        <v>17</v>
      </c>
      <c r="E17" s="34">
        <f>C17/(1.2*(343*C18*0.0001)^2)</f>
        <v>0.78692901140451621</v>
      </c>
      <c r="F17" s="9" t="s">
        <v>16</v>
      </c>
      <c r="H17" s="77" t="s">
        <v>18</v>
      </c>
      <c r="I17" s="16">
        <f>E9*SQRT(C16/I15)</f>
        <v>49.350039846652678</v>
      </c>
      <c r="J17" s="9" t="s">
        <v>14</v>
      </c>
      <c r="K17" s="20"/>
      <c r="L17" s="49" t="s">
        <v>94</v>
      </c>
      <c r="M17" s="23"/>
      <c r="N17" s="22">
        <v>88</v>
      </c>
      <c r="O17" s="14" t="s">
        <v>95</v>
      </c>
      <c r="U17" t="s">
        <v>139</v>
      </c>
    </row>
    <row r="18" spans="2:33">
      <c r="B18" s="81" t="s">
        <v>10</v>
      </c>
      <c r="C18" s="10">
        <v>91</v>
      </c>
      <c r="D18" s="20" t="s">
        <v>74</v>
      </c>
      <c r="E18" s="20"/>
      <c r="F18" s="9"/>
      <c r="H18" s="7" t="s">
        <v>26</v>
      </c>
      <c r="I18" s="11">
        <f>N10/(2*PI()*I17*N9/1000)</f>
        <v>8.1995178131088959</v>
      </c>
      <c r="J18" s="9"/>
      <c r="K18" s="20"/>
    </row>
    <row r="19" spans="2:33">
      <c r="B19" s="82" t="s">
        <v>45</v>
      </c>
      <c r="C19" s="22">
        <v>3.5</v>
      </c>
      <c r="D19" s="23" t="s">
        <v>75</v>
      </c>
      <c r="E19" s="23"/>
      <c r="F19" s="14"/>
      <c r="H19" s="7" t="s">
        <v>27</v>
      </c>
      <c r="I19" s="11">
        <f>N6/(2*PI()*I17*N9/1000)</f>
        <v>1.5375641914374316</v>
      </c>
      <c r="J19" s="9"/>
      <c r="L19" t="s">
        <v>86</v>
      </c>
      <c r="U19" t="s">
        <v>140</v>
      </c>
    </row>
    <row r="20" spans="2:33">
      <c r="H20" s="78" t="s">
        <v>28</v>
      </c>
      <c r="I20" s="17">
        <f>I18*I19/(I18+I19)</f>
        <v>1.2947703398824357</v>
      </c>
      <c r="J20" s="14"/>
      <c r="L20" s="4" t="s">
        <v>87</v>
      </c>
      <c r="M20" s="19"/>
      <c r="N20" s="25">
        <f>N13</f>
        <v>20</v>
      </c>
      <c r="O20" s="6" t="s">
        <v>14</v>
      </c>
      <c r="U20" s="65" t="s">
        <v>141</v>
      </c>
      <c r="V20" s="66">
        <f>196.9-3+20*LOG(0.0001*C18*C19/I6)</f>
        <v>143.96218873342738</v>
      </c>
      <c r="W20" s="67" t="s">
        <v>60</v>
      </c>
    </row>
    <row r="21" spans="2:33">
      <c r="B21" t="s">
        <v>40</v>
      </c>
      <c r="L21" s="12" t="s">
        <v>84</v>
      </c>
      <c r="M21" s="23"/>
      <c r="N21" s="30">
        <f>N14</f>
        <v>0.5</v>
      </c>
      <c r="O21" s="14"/>
    </row>
    <row r="22" spans="2:33">
      <c r="B22" s="4" t="s">
        <v>37</v>
      </c>
      <c r="C22" s="35" t="e">
        <f>(E9/(2*E13))*(1-SQRT(1-(2*E13)^2))</f>
        <v>#NUM!</v>
      </c>
      <c r="D22" s="6" t="s">
        <v>14</v>
      </c>
      <c r="H22" t="s">
        <v>42</v>
      </c>
      <c r="L22" s="50" t="s">
        <v>88</v>
      </c>
      <c r="M22" s="20"/>
      <c r="N22" s="21"/>
      <c r="O22" s="9"/>
      <c r="U22" t="s">
        <v>145</v>
      </c>
    </row>
    <row r="23" spans="2:33">
      <c r="B23" s="12" t="s">
        <v>38</v>
      </c>
      <c r="C23" s="13" t="e">
        <f>(E9/(2*E13))*(1+SQRT(1-(2*E13)^2))</f>
        <v>#NUM!</v>
      </c>
      <c r="D23" s="14" t="s">
        <v>14</v>
      </c>
      <c r="H23" s="4" t="s">
        <v>37</v>
      </c>
      <c r="I23" s="35" t="e">
        <f>(I17/(2*I20))*(1-SQRT(1-(2*I20)^2))</f>
        <v>#NUM!</v>
      </c>
      <c r="J23" s="6" t="s">
        <v>14</v>
      </c>
      <c r="L23" s="7" t="s">
        <v>89</v>
      </c>
      <c r="M23" s="20"/>
      <c r="N23" s="51" t="e">
        <f>I23</f>
        <v>#NUM!</v>
      </c>
      <c r="O23" s="9" t="s">
        <v>14</v>
      </c>
      <c r="U23" s="4" t="s">
        <v>143</v>
      </c>
      <c r="V23" s="68">
        <v>99</v>
      </c>
      <c r="W23" s="6" t="s">
        <v>142</v>
      </c>
    </row>
    <row r="24" spans="2:33">
      <c r="C24" s="36"/>
      <c r="H24" s="12" t="s">
        <v>38</v>
      </c>
      <c r="I24" s="13" t="e">
        <f>(I17/(2*I20))*(1+SQRT(1-(2*I20)^2))</f>
        <v>#NUM!</v>
      </c>
      <c r="J24" s="14" t="s">
        <v>14</v>
      </c>
      <c r="L24" s="12" t="s">
        <v>90</v>
      </c>
      <c r="M24" s="23"/>
      <c r="N24" s="13" t="e">
        <f>I24</f>
        <v>#NUM!</v>
      </c>
      <c r="O24" s="14" t="s">
        <v>14</v>
      </c>
      <c r="U24" s="69"/>
      <c r="V24" s="20"/>
      <c r="W24" s="9"/>
    </row>
    <row r="25" spans="2:33">
      <c r="B25" t="s">
        <v>41</v>
      </c>
      <c r="C25" s="36"/>
      <c r="I25" s="36"/>
      <c r="L25" s="50" t="s">
        <v>91</v>
      </c>
      <c r="M25" s="20"/>
      <c r="N25" s="21"/>
      <c r="O25" s="9"/>
      <c r="U25" s="12" t="s">
        <v>141</v>
      </c>
      <c r="V25" s="13">
        <f>196.9-3+20*LOG(C18*C19*0.0000001)-20*LOG(V23)</f>
        <v>64.049484841476399</v>
      </c>
      <c r="W25" s="14" t="s">
        <v>60</v>
      </c>
    </row>
    <row r="26" spans="2:33">
      <c r="B26" s="4" t="s">
        <v>39</v>
      </c>
      <c r="C26" s="35">
        <f>E9/(2*E13)</f>
        <v>18.817419438231759</v>
      </c>
      <c r="D26" s="6" t="s">
        <v>14</v>
      </c>
      <c r="H26" t="s">
        <v>43</v>
      </c>
      <c r="I26" s="36"/>
      <c r="L26" s="7" t="s">
        <v>92</v>
      </c>
      <c r="M26" s="20"/>
      <c r="N26" s="51">
        <f>SQRT(I27^2+I28^2)</f>
        <v>49.350039846652685</v>
      </c>
      <c r="O26" s="9" t="s">
        <v>14</v>
      </c>
      <c r="U26" t="s">
        <v>146</v>
      </c>
    </row>
    <row r="27" spans="2:33">
      <c r="B27" s="27" t="s">
        <v>44</v>
      </c>
      <c r="C27" s="13">
        <f>C26*SQRT(-1+(2*E13)^2)</f>
        <v>29.94634428582042</v>
      </c>
      <c r="D27" s="14" t="s">
        <v>14</v>
      </c>
      <c r="H27" s="4" t="s">
        <v>39</v>
      </c>
      <c r="I27" s="35">
        <f>I17/(2*I20)</f>
        <v>19.057449157791808</v>
      </c>
      <c r="J27" s="6" t="s">
        <v>14</v>
      </c>
      <c r="L27" s="12" t="s">
        <v>93</v>
      </c>
      <c r="M27" s="23"/>
      <c r="N27" s="17">
        <f>N26/(2*I27)</f>
        <v>1.2947703398824359</v>
      </c>
      <c r="O27" s="14"/>
    </row>
    <row r="28" spans="2:33">
      <c r="H28" s="27" t="s">
        <v>44</v>
      </c>
      <c r="I28" s="13">
        <f>I27*SQRT(-1+(2*I20)^2)</f>
        <v>45.521863587339958</v>
      </c>
      <c r="J28" s="14" t="s">
        <v>14</v>
      </c>
      <c r="L28" s="65" t="s">
        <v>148</v>
      </c>
      <c r="M28" s="70"/>
      <c r="N28" s="72">
        <f>((I17/N13)-(I20/N14))/((I20/N14)-(N13/I17))</f>
        <v>-5.587154830906061E-2</v>
      </c>
      <c r="O28" s="71" t="s">
        <v>149</v>
      </c>
    </row>
    <row r="29" spans="2:33">
      <c r="E29" t="s">
        <v>57</v>
      </c>
    </row>
    <row r="30" spans="2:33">
      <c r="AB30" t="s">
        <v>158</v>
      </c>
    </row>
    <row r="31" spans="2:33">
      <c r="C31" t="s">
        <v>129</v>
      </c>
      <c r="H31" t="s">
        <v>130</v>
      </c>
      <c r="L31" t="s">
        <v>131</v>
      </c>
      <c r="M31" s="47"/>
      <c r="N31" s="47" t="s">
        <v>132</v>
      </c>
      <c r="O31" s="20"/>
      <c r="P31" s="47">
        <f>C19</f>
        <v>3.5</v>
      </c>
      <c r="Q31" s="20" t="s">
        <v>46</v>
      </c>
      <c r="R31" s="20"/>
      <c r="S31" s="20"/>
      <c r="U31" t="s">
        <v>133</v>
      </c>
      <c r="Y31" t="s">
        <v>147</v>
      </c>
      <c r="AD31" s="73">
        <f>R10</f>
        <v>53.505738010048979</v>
      </c>
      <c r="AE31" t="s">
        <v>65</v>
      </c>
      <c r="AG31" t="s">
        <v>159</v>
      </c>
    </row>
    <row r="32" spans="2:33">
      <c r="C32" s="39"/>
      <c r="D32" s="19"/>
      <c r="E32" s="6"/>
      <c r="H32" s="39"/>
      <c r="I32" s="19"/>
      <c r="J32" s="6"/>
      <c r="L32" s="44" t="s">
        <v>80</v>
      </c>
      <c r="M32" s="20"/>
      <c r="N32" s="4" t="s">
        <v>57</v>
      </c>
      <c r="O32" s="19"/>
      <c r="P32" s="19"/>
      <c r="Q32" s="48" t="s">
        <v>66</v>
      </c>
      <c r="R32" s="48"/>
      <c r="S32" s="6" t="s">
        <v>58</v>
      </c>
      <c r="U32" s="44" t="s">
        <v>58</v>
      </c>
      <c r="Y32" s="39" t="s">
        <v>58</v>
      </c>
      <c r="Z32" s="6"/>
      <c r="AB32" s="39"/>
      <c r="AC32" s="19"/>
      <c r="AD32" s="19"/>
      <c r="AE32" s="6" t="s">
        <v>58</v>
      </c>
      <c r="AF32" s="20"/>
      <c r="AG32" s="44" t="s">
        <v>58</v>
      </c>
    </row>
    <row r="33" spans="2:33">
      <c r="B33" s="1" t="s">
        <v>48</v>
      </c>
      <c r="C33" s="40" t="s">
        <v>49</v>
      </c>
      <c r="D33" s="21" t="s">
        <v>50</v>
      </c>
      <c r="E33" s="41" t="s">
        <v>52</v>
      </c>
      <c r="H33" s="40" t="s">
        <v>49</v>
      </c>
      <c r="I33" s="21" t="s">
        <v>50</v>
      </c>
      <c r="J33" s="41" t="s">
        <v>52</v>
      </c>
      <c r="L33" s="45" t="s">
        <v>81</v>
      </c>
      <c r="M33" s="20"/>
      <c r="N33" s="40" t="s">
        <v>63</v>
      </c>
      <c r="O33" s="21" t="s">
        <v>64</v>
      </c>
      <c r="P33" s="21" t="s">
        <v>62</v>
      </c>
      <c r="Q33" s="21" t="s">
        <v>68</v>
      </c>
      <c r="R33" s="21" t="s">
        <v>67</v>
      </c>
      <c r="S33" s="9" t="s">
        <v>59</v>
      </c>
      <c r="T33" s="1" t="s">
        <v>61</v>
      </c>
      <c r="U33" s="45" t="s">
        <v>59</v>
      </c>
      <c r="V33" s="1" t="s">
        <v>96</v>
      </c>
      <c r="W33" s="1" t="s">
        <v>97</v>
      </c>
      <c r="X33" s="1" t="s">
        <v>98</v>
      </c>
      <c r="Y33" s="69" t="s">
        <v>59</v>
      </c>
      <c r="Z33" s="41" t="s">
        <v>64</v>
      </c>
      <c r="AB33" s="40" t="s">
        <v>63</v>
      </c>
      <c r="AC33" s="21" t="s">
        <v>64</v>
      </c>
      <c r="AD33" s="21" t="s">
        <v>62</v>
      </c>
      <c r="AE33" s="9" t="s">
        <v>59</v>
      </c>
      <c r="AF33" s="20"/>
      <c r="AG33" s="45" t="s">
        <v>59</v>
      </c>
    </row>
    <row r="34" spans="2:33">
      <c r="B34" s="21" t="s">
        <v>14</v>
      </c>
      <c r="C34" s="42" t="s">
        <v>12</v>
      </c>
      <c r="D34" s="30" t="s">
        <v>51</v>
      </c>
      <c r="E34" s="43" t="s">
        <v>12</v>
      </c>
      <c r="H34" s="42" t="s">
        <v>12</v>
      </c>
      <c r="I34" s="30" t="s">
        <v>51</v>
      </c>
      <c r="J34" s="43" t="s">
        <v>12</v>
      </c>
      <c r="L34" s="46" t="s">
        <v>53</v>
      </c>
      <c r="M34" s="21"/>
      <c r="N34" s="42" t="s">
        <v>65</v>
      </c>
      <c r="O34" s="30" t="s">
        <v>55</v>
      </c>
      <c r="P34" s="30" t="s">
        <v>54</v>
      </c>
      <c r="Q34" s="30" t="s">
        <v>56</v>
      </c>
      <c r="R34" s="30" t="s">
        <v>56</v>
      </c>
      <c r="S34" s="43" t="s">
        <v>60</v>
      </c>
      <c r="T34" s="21" t="s">
        <v>14</v>
      </c>
      <c r="U34" s="46" t="s">
        <v>60</v>
      </c>
      <c r="V34" s="1" t="s">
        <v>60</v>
      </c>
      <c r="W34" s="1" t="s">
        <v>60</v>
      </c>
      <c r="X34" s="1" t="s">
        <v>60</v>
      </c>
      <c r="Y34" s="42" t="s">
        <v>60</v>
      </c>
      <c r="Z34" s="43" t="s">
        <v>55</v>
      </c>
      <c r="AB34" s="42" t="s">
        <v>65</v>
      </c>
      <c r="AC34" s="30" t="s">
        <v>55</v>
      </c>
      <c r="AD34" s="30" t="s">
        <v>54</v>
      </c>
      <c r="AE34" s="43" t="s">
        <v>60</v>
      </c>
      <c r="AF34" s="21"/>
      <c r="AG34" s="46" t="s">
        <v>60</v>
      </c>
    </row>
    <row r="35" spans="2:33">
      <c r="B35" s="74">
        <v>10</v>
      </c>
      <c r="C35" s="3">
        <f>$C$7+$E$14/(1+($E$11*(B35/$C$9-$C$9/B35))^2)</f>
        <v>6.0230531923803623</v>
      </c>
      <c r="D35" s="3">
        <f>(2*PI()*B35*$C$8/1000)-($E$14*$E$11*(B35/$C$9-$C$9/B35))/((1+($E$11*(B35/$C$9-$C$9/B35))^2))</f>
        <v>0.98925096350063901</v>
      </c>
      <c r="E35" s="3">
        <f>SQRT(C35^2+D35^2)</f>
        <v>6.1037518975651537</v>
      </c>
      <c r="H35" s="3">
        <f t="shared" ref="H35:H62" si="0">$C$7+$N$10/(1+($I$18*(B35/$I$17-$I$17/B35))^2)</f>
        <v>6.0212365503878003</v>
      </c>
      <c r="I35" s="3">
        <f t="shared" ref="I35:I62" si="1">(2*PI()*B35*$C$8/1000)-($N$10*$I$18*(B35/$I$17-$I$17/B35))/((1+($I$18*(B35/$I$17-$I$17/B35))^2))</f>
        <v>0.91829285779084702</v>
      </c>
      <c r="J35" s="3">
        <f>SQRT(H35^2+I35^2)</f>
        <v>6.0908580157803431</v>
      </c>
      <c r="L35" s="28">
        <f t="shared" ref="L35:L62" si="2">(1000/(2*PI()*B35*$C$10))/SQRT((1+$I$19/$I$18)^2+($I$19^2)*(B35/$I$17-$I$17/B35)^2)</f>
        <v>0.39249796703077811</v>
      </c>
      <c r="M35" s="28"/>
      <c r="N35" s="3">
        <f t="shared" ref="N35:N62" si="3">$P$31/L35</f>
        <v>8.9172436394442371</v>
      </c>
      <c r="O35" s="3">
        <f>N35/J35</f>
        <v>1.464037351772316</v>
      </c>
      <c r="P35" s="29">
        <f>N35*O35/2</f>
        <v>6.5275888815002352</v>
      </c>
      <c r="Q35" s="29">
        <f>4*O35^2</f>
        <v>8.5736214695379847</v>
      </c>
      <c r="R35" s="29">
        <f>(N35^2)/16</f>
        <v>4.9698271328255439</v>
      </c>
      <c r="S35" s="29">
        <f>-37.6+20*LOG($P$31*$C$18)+40*LOG(B35)</f>
        <v>52.462188733427382</v>
      </c>
      <c r="T35" s="76">
        <f>B35</f>
        <v>10</v>
      </c>
      <c r="U35" s="29">
        <f>-37.6+20*LOG(2.83*1.41*L35*$C$18)+40*LOG(B35)</f>
        <v>45.477687042616417</v>
      </c>
      <c r="V35" s="29">
        <f t="shared" ref="V35:V62" si="4">$N$17+40*LOG(T35/$N$13)-10*LOG((((T35^2/$N$13^2)-1)^2)+(T35/($N$13*$N$14))^2)</f>
        <v>74.020599913279625</v>
      </c>
      <c r="W35" s="29">
        <f>V35-U35</f>
        <v>28.542912870663208</v>
      </c>
      <c r="X35" s="1">
        <f t="shared" ref="X35:X62" si="5">$N$17</f>
        <v>88</v>
      </c>
      <c r="Y35" s="29">
        <f>U35+7.95</f>
        <v>53.427687042616419</v>
      </c>
      <c r="Z35" s="3">
        <f>10/J35</f>
        <v>1.6418048120793092</v>
      </c>
      <c r="AB35" s="3">
        <f>IF(N35&lt;$AD$31, N35, $AD$31)</f>
        <v>8.9172436394442371</v>
      </c>
      <c r="AC35" s="3">
        <f>IF(AB35/J35&lt;$R$8, AB35/J35, $R$8)</f>
        <v>1.464037351772316</v>
      </c>
      <c r="AD35" s="29">
        <f>AB35*AC35/2</f>
        <v>6.5275888815002352</v>
      </c>
      <c r="AE35" s="29">
        <f>S35+20*LOG(AC35/O35)</f>
        <v>52.462188733427382</v>
      </c>
      <c r="AG35" s="29">
        <f t="shared" ref="AG35:AG62" si="6">AE35+20*LOG(T35/$R$16)</f>
        <v>29.188527731565738</v>
      </c>
    </row>
    <row r="36" spans="2:33">
      <c r="B36" s="75">
        <f>B35*2^(1/7)</f>
        <v>11.040895136738122</v>
      </c>
      <c r="C36" s="3">
        <f t="shared" ref="C36:C62" si="7">$C$7+$E$14/(1+($E$11*(B36/$C$9-$C$9/B36))^2)</f>
        <v>6.0284250599545404</v>
      </c>
      <c r="D36" s="3">
        <f t="shared" ref="D36:D62" si="8">(2*PI()*B36*$C$8/1000)-($E$14*$E$11*(B36/$C$9-$C$9/B36))/((1+($E$11*(B36/$C$9-$C$9/B36))^2))</f>
        <v>1.0978057488395541</v>
      </c>
      <c r="E36" s="3">
        <f t="shared" ref="E36:E62" si="9">SQRT(C36^2+D36^2)</f>
        <v>6.1275677202029417</v>
      </c>
      <c r="H36" s="3">
        <f t="shared" si="0"/>
        <v>6.0263758641974805</v>
      </c>
      <c r="I36" s="3">
        <f t="shared" si="1"/>
        <v>1.0223428545992221</v>
      </c>
      <c r="J36" s="3">
        <f t="shared" ref="J36:J62" si="10">SQRT(H36^2+I36^2)</f>
        <v>6.11247830007862</v>
      </c>
      <c r="L36" s="28">
        <f t="shared" si="2"/>
        <v>0.3949745922043057</v>
      </c>
      <c r="M36" s="28"/>
      <c r="N36" s="3">
        <f t="shared" si="3"/>
        <v>8.861329485694057</v>
      </c>
      <c r="O36" s="3">
        <f t="shared" ref="O36:O62" si="11">N36/J36</f>
        <v>1.4497114019333337</v>
      </c>
      <c r="P36" s="29">
        <f t="shared" ref="P36:P62" si="12">N36*O36/2</f>
        <v>6.4231851958493591</v>
      </c>
      <c r="Q36" s="29">
        <f t="shared" ref="Q36:Q62" si="13">4*O36^2</f>
        <v>8.406652595582047</v>
      </c>
      <c r="R36" s="29">
        <f t="shared" ref="R36:R62" si="14">(N36^2)/16</f>
        <v>4.9076975158769311</v>
      </c>
      <c r="S36" s="29">
        <f t="shared" ref="S36:S62" si="15">-37.6+20*LOG($P$31*$C$18)+40*LOG(B36)</f>
        <v>54.182360137221558</v>
      </c>
      <c r="T36" s="76">
        <f t="shared" ref="T36:T62" si="16">B36</f>
        <v>11.040895136738122</v>
      </c>
      <c r="U36" s="29">
        <f t="shared" ref="U36:U62" si="17">-37.6+20*LOG(2.83*1.41*L36*$C$18)+40*LOG(B36)</f>
        <v>47.252493401256601</v>
      </c>
      <c r="V36" s="29">
        <f t="shared" si="4"/>
        <v>75.368402742263044</v>
      </c>
      <c r="W36" s="29">
        <f t="shared" ref="W36:W62" si="18">V36-U36</f>
        <v>28.115909341006443</v>
      </c>
      <c r="X36" s="1">
        <f t="shared" si="5"/>
        <v>88</v>
      </c>
      <c r="Y36" s="29">
        <f t="shared" ref="Y36:Y62" si="19">U36+7.95</f>
        <v>55.202493401256604</v>
      </c>
      <c r="Z36" s="3">
        <f t="shared" ref="Z36:Z62" si="20">10/J36</f>
        <v>1.6359976279787165</v>
      </c>
      <c r="AB36" s="3">
        <f t="shared" ref="AB36:AB62" si="21">IF(N36&lt;$AD$31, N36, $AD$31)</f>
        <v>8.861329485694057</v>
      </c>
      <c r="AC36" s="3">
        <f t="shared" ref="AC36:AC62" si="22">IF(AB36/J36&lt;$R$8, AB36/J36, $R$8)</f>
        <v>1.4497114019333337</v>
      </c>
      <c r="AD36" s="29">
        <f t="shared" ref="AD36:AD62" si="23">AB36*AC36/2</f>
        <v>6.4231851958493591</v>
      </c>
      <c r="AE36" s="29">
        <f t="shared" ref="AE36:AE62" si="24">S36+20*LOG(AC36/O36)</f>
        <v>54.182360137221558</v>
      </c>
      <c r="AG36" s="29">
        <f t="shared" si="6"/>
        <v>31.768784837257002</v>
      </c>
    </row>
    <row r="37" spans="2:33">
      <c r="B37" s="75">
        <f t="shared" ref="B37:B62" si="25">B36*2^(1/7)</f>
        <v>12.190136542044751</v>
      </c>
      <c r="C37" s="3">
        <f t="shared" si="7"/>
        <v>6.0351395298041695</v>
      </c>
      <c r="D37" s="3">
        <f t="shared" si="8"/>
        <v>1.2196837471877242</v>
      </c>
      <c r="E37" s="3">
        <f t="shared" si="9"/>
        <v>6.157153367211083</v>
      </c>
      <c r="H37" s="3">
        <f t="shared" si="0"/>
        <v>6.0329009483126832</v>
      </c>
      <c r="I37" s="3">
        <f t="shared" si="1"/>
        <v>1.1403853135987627</v>
      </c>
      <c r="J37" s="3">
        <f t="shared" si="10"/>
        <v>6.13973716991402</v>
      </c>
      <c r="L37" s="28">
        <f t="shared" si="2"/>
        <v>0.39801057494564351</v>
      </c>
      <c r="M37" s="28"/>
      <c r="N37" s="3">
        <f t="shared" si="3"/>
        <v>8.7937361977831792</v>
      </c>
      <c r="O37" s="3">
        <f t="shared" si="11"/>
        <v>1.4322659023376934</v>
      </c>
      <c r="P37" s="29">
        <f t="shared" si="12"/>
        <v>6.2974842551187811</v>
      </c>
      <c r="Q37" s="29">
        <f t="shared" si="13"/>
        <v>8.2055424599968276</v>
      </c>
      <c r="R37" s="29">
        <f t="shared" si="14"/>
        <v>4.8331122697626352</v>
      </c>
      <c r="S37" s="29">
        <f t="shared" si="15"/>
        <v>55.902531541015733</v>
      </c>
      <c r="T37" s="76">
        <f t="shared" si="16"/>
        <v>12.190136542044751</v>
      </c>
      <c r="U37" s="29">
        <f t="shared" si="17"/>
        <v>49.039173841968172</v>
      </c>
      <c r="V37" s="29">
        <f t="shared" si="4"/>
        <v>76.655235784134291</v>
      </c>
      <c r="W37" s="29">
        <f t="shared" si="18"/>
        <v>27.61606194216612</v>
      </c>
      <c r="X37" s="1">
        <f t="shared" si="5"/>
        <v>88</v>
      </c>
      <c r="Y37" s="29">
        <f t="shared" si="19"/>
        <v>56.989173841968174</v>
      </c>
      <c r="Z37" s="3">
        <f t="shared" si="20"/>
        <v>1.628734215041332</v>
      </c>
      <c r="AB37" s="3">
        <f t="shared" si="21"/>
        <v>8.7937361977831792</v>
      </c>
      <c r="AC37" s="3">
        <f t="shared" si="22"/>
        <v>1.4322659023376934</v>
      </c>
      <c r="AD37" s="29">
        <f t="shared" si="23"/>
        <v>6.2974842551187811</v>
      </c>
      <c r="AE37" s="29">
        <f t="shared" si="24"/>
        <v>55.902531541015733</v>
      </c>
      <c r="AG37" s="29">
        <f t="shared" si="6"/>
        <v>34.349041942948269</v>
      </c>
    </row>
    <row r="38" spans="2:33">
      <c r="B38" s="75">
        <f t="shared" si="25"/>
        <v>13.459001926323557</v>
      </c>
      <c r="C38" s="3">
        <f t="shared" si="7"/>
        <v>6.043579272198806</v>
      </c>
      <c r="D38" s="3">
        <f t="shared" si="8"/>
        <v>1.3570339242291583</v>
      </c>
      <c r="E38" s="3">
        <f t="shared" si="9"/>
        <v>6.1940609854004371</v>
      </c>
      <c r="H38" s="3">
        <f t="shared" si="0"/>
        <v>6.0412623176302569</v>
      </c>
      <c r="I38" s="3">
        <f t="shared" si="1"/>
        <v>1.2751332697443687</v>
      </c>
      <c r="J38" s="3">
        <f t="shared" si="10"/>
        <v>6.1743675988742579</v>
      </c>
      <c r="L38" s="28">
        <f t="shared" si="2"/>
        <v>0.40173544176532705</v>
      </c>
      <c r="M38" s="28"/>
      <c r="N38" s="3">
        <f t="shared" si="3"/>
        <v>8.7122012054005378</v>
      </c>
      <c r="O38" s="3">
        <f t="shared" si="11"/>
        <v>1.4110272940323461</v>
      </c>
      <c r="P38" s="29">
        <f t="shared" si="12"/>
        <v>6.1465768459608325</v>
      </c>
      <c r="Q38" s="29">
        <f t="shared" si="13"/>
        <v>7.9639920980169787</v>
      </c>
      <c r="R38" s="29">
        <f t="shared" si="14"/>
        <v>4.7439031152114115</v>
      </c>
      <c r="S38" s="29">
        <f t="shared" si="15"/>
        <v>57.622702944809916</v>
      </c>
      <c r="T38" s="76">
        <f t="shared" si="16"/>
        <v>13.459001926323557</v>
      </c>
      <c r="U38" s="29">
        <f t="shared" si="17"/>
        <v>50.840255973388935</v>
      </c>
      <c r="V38" s="29">
        <f t="shared" si="4"/>
        <v>77.874828091923504</v>
      </c>
      <c r="W38" s="29">
        <f t="shared" si="18"/>
        <v>27.03457211853457</v>
      </c>
      <c r="X38" s="1">
        <f t="shared" si="5"/>
        <v>88</v>
      </c>
      <c r="Y38" s="29">
        <f t="shared" si="19"/>
        <v>58.790255973388938</v>
      </c>
      <c r="Z38" s="3">
        <f t="shared" si="20"/>
        <v>1.6195990666029103</v>
      </c>
      <c r="AB38" s="3">
        <f t="shared" si="21"/>
        <v>8.7122012054005378</v>
      </c>
      <c r="AC38" s="3">
        <f t="shared" si="22"/>
        <v>1.4110272940323461</v>
      </c>
      <c r="AD38" s="29">
        <f t="shared" si="23"/>
        <v>6.1465768459608325</v>
      </c>
      <c r="AE38" s="29">
        <f t="shared" si="24"/>
        <v>57.622702944809916</v>
      </c>
      <c r="AG38" s="29">
        <f t="shared" si="6"/>
        <v>36.929299048639535</v>
      </c>
    </row>
    <row r="39" spans="2:33">
      <c r="B39" s="75">
        <f t="shared" si="25"/>
        <v>14.859942891369478</v>
      </c>
      <c r="C39" s="3">
        <f t="shared" si="7"/>
        <v>6.0542608591636879</v>
      </c>
      <c r="D39" s="3">
        <f t="shared" si="8"/>
        <v>1.5125355671444984</v>
      </c>
      <c r="E39" s="3">
        <f t="shared" si="9"/>
        <v>6.2403396055566214</v>
      </c>
      <c r="H39" s="3">
        <f t="shared" si="0"/>
        <v>6.0520999501129147</v>
      </c>
      <c r="I39" s="3">
        <f t="shared" si="1"/>
        <v>1.4301355210322835</v>
      </c>
      <c r="J39" s="3">
        <f t="shared" si="10"/>
        <v>6.2187781287544759</v>
      </c>
      <c r="L39" s="28">
        <f t="shared" si="2"/>
        <v>0.40630931509041662</v>
      </c>
      <c r="M39" s="28"/>
      <c r="N39" s="3">
        <f t="shared" si="3"/>
        <v>8.6141268979303121</v>
      </c>
      <c r="O39" s="3">
        <f t="shared" si="11"/>
        <v>1.3851799693737565</v>
      </c>
      <c r="P39" s="29">
        <f t="shared" si="12"/>
        <v>5.9660580163283807</v>
      </c>
      <c r="Q39" s="29">
        <f t="shared" si="13"/>
        <v>7.6748941902171248</v>
      </c>
      <c r="R39" s="29">
        <f t="shared" si="14"/>
        <v>4.6376988883529062</v>
      </c>
      <c r="S39" s="29">
        <f t="shared" si="15"/>
        <v>59.342874348604091</v>
      </c>
      <c r="T39" s="76">
        <f t="shared" si="16"/>
        <v>14.859942891369478</v>
      </c>
      <c r="U39" s="29">
        <f t="shared" si="17"/>
        <v>52.658760007629269</v>
      </c>
      <c r="V39" s="29">
        <f t="shared" si="4"/>
        <v>79.021400968640194</v>
      </c>
      <c r="W39" s="29">
        <f t="shared" si="18"/>
        <v>26.362640961010925</v>
      </c>
      <c r="X39" s="1">
        <f t="shared" si="5"/>
        <v>88</v>
      </c>
      <c r="Y39" s="29">
        <f t="shared" si="19"/>
        <v>60.608760007629272</v>
      </c>
      <c r="Z39" s="3">
        <f t="shared" si="20"/>
        <v>1.6080329275234722</v>
      </c>
      <c r="AB39" s="3">
        <f t="shared" si="21"/>
        <v>8.6141268979303121</v>
      </c>
      <c r="AC39" s="3">
        <f t="shared" si="22"/>
        <v>1.3851799693737565</v>
      </c>
      <c r="AD39" s="29">
        <f t="shared" si="23"/>
        <v>5.9660580163283807</v>
      </c>
      <c r="AE39" s="29">
        <f t="shared" si="24"/>
        <v>59.342874348604091</v>
      </c>
      <c r="AG39" s="29">
        <f t="shared" si="6"/>
        <v>39.509556154330802</v>
      </c>
    </row>
    <row r="40" spans="2:33">
      <c r="B40" s="75">
        <f t="shared" si="25"/>
        <v>16.406707120152749</v>
      </c>
      <c r="C40" s="3">
        <f t="shared" si="7"/>
        <v>6.0678949439673788</v>
      </c>
      <c r="D40" s="3">
        <f t="shared" si="8"/>
        <v>1.6895905752009555</v>
      </c>
      <c r="E40" s="3">
        <f t="shared" si="9"/>
        <v>6.2987352192986155</v>
      </c>
      <c r="H40" s="3">
        <f t="shared" si="0"/>
        <v>6.066348384851433</v>
      </c>
      <c r="I40" s="3">
        <f t="shared" si="1"/>
        <v>1.6101475981309608</v>
      </c>
      <c r="J40" s="3">
        <f t="shared" si="10"/>
        <v>6.2763968974369764</v>
      </c>
      <c r="L40" s="28">
        <f t="shared" si="2"/>
        <v>0.41192947432850169</v>
      </c>
      <c r="M40" s="28"/>
      <c r="N40" s="3">
        <f t="shared" si="3"/>
        <v>8.4966000689934909</v>
      </c>
      <c r="O40" s="3">
        <f t="shared" si="11"/>
        <v>1.3537384916596262</v>
      </c>
      <c r="P40" s="29">
        <f t="shared" si="12"/>
        <v>5.7510872808171625</v>
      </c>
      <c r="Q40" s="29">
        <f t="shared" si="13"/>
        <v>7.33043161520352</v>
      </c>
      <c r="R40" s="29">
        <f t="shared" si="14"/>
        <v>4.5120132957762618</v>
      </c>
      <c r="S40" s="29">
        <f t="shared" si="15"/>
        <v>61.06304575239826</v>
      </c>
      <c r="T40" s="76">
        <f t="shared" si="16"/>
        <v>16.406707120152749</v>
      </c>
      <c r="U40" s="29">
        <f t="shared" si="17"/>
        <v>54.498253182087012</v>
      </c>
      <c r="V40" s="29">
        <f t="shared" si="4"/>
        <v>80.089997467219405</v>
      </c>
      <c r="W40" s="29">
        <f t="shared" si="18"/>
        <v>25.591744285132393</v>
      </c>
      <c r="X40" s="1">
        <f t="shared" si="5"/>
        <v>88</v>
      </c>
      <c r="Y40" s="29">
        <f t="shared" si="19"/>
        <v>62.448253182087015</v>
      </c>
      <c r="Z40" s="3">
        <f t="shared" si="20"/>
        <v>1.5932708149931676</v>
      </c>
      <c r="AB40" s="3">
        <f t="shared" si="21"/>
        <v>8.4966000689934909</v>
      </c>
      <c r="AC40" s="3">
        <f t="shared" si="22"/>
        <v>1.3537384916596262</v>
      </c>
      <c r="AD40" s="29">
        <f t="shared" si="23"/>
        <v>5.7510872808171625</v>
      </c>
      <c r="AE40" s="29">
        <f t="shared" si="24"/>
        <v>61.06304575239826</v>
      </c>
      <c r="AG40" s="29">
        <f t="shared" si="6"/>
        <v>42.089813260022062</v>
      </c>
    </row>
    <row r="41" spans="2:33">
      <c r="B41" s="75">
        <f t="shared" si="25"/>
        <v>18.11447328527812</v>
      </c>
      <c r="C41" s="3">
        <f t="shared" si="7"/>
        <v>6.0854810188663429</v>
      </c>
      <c r="D41" s="3">
        <f t="shared" si="8"/>
        <v>1.8926069538897443</v>
      </c>
      <c r="E41" s="3">
        <f t="shared" si="9"/>
        <v>6.3729930419618661</v>
      </c>
      <c r="H41" s="3">
        <f t="shared" si="0"/>
        <v>6.085417259982477</v>
      </c>
      <c r="I41" s="3">
        <f t="shared" si="1"/>
        <v>1.8217189447959163</v>
      </c>
      <c r="J41" s="3">
        <f t="shared" si="10"/>
        <v>6.3522407969094639</v>
      </c>
      <c r="L41" s="28">
        <f t="shared" si="2"/>
        <v>0.41883693885561885</v>
      </c>
      <c r="M41" s="28"/>
      <c r="N41" s="3">
        <f t="shared" si="3"/>
        <v>8.3564740243852214</v>
      </c>
      <c r="O41" s="3">
        <f t="shared" si="11"/>
        <v>1.3155159402097716</v>
      </c>
      <c r="P41" s="29">
        <f t="shared" si="12"/>
        <v>5.4965373915138294</v>
      </c>
      <c r="Q41" s="29">
        <f t="shared" si="13"/>
        <v>6.9223287557839974</v>
      </c>
      <c r="R41" s="29">
        <f t="shared" si="14"/>
        <v>4.3644161325140587</v>
      </c>
      <c r="S41" s="29">
        <f t="shared" si="15"/>
        <v>62.783217156192435</v>
      </c>
      <c r="T41" s="76">
        <f t="shared" si="16"/>
        <v>18.11447328527812</v>
      </c>
      <c r="U41" s="29">
        <f t="shared" si="17"/>
        <v>56.362866769025509</v>
      </c>
      <c r="V41" s="29">
        <f t="shared" si="4"/>
        <v>81.076800508515163</v>
      </c>
      <c r="W41" s="29">
        <f t="shared" si="18"/>
        <v>24.713933739489654</v>
      </c>
      <c r="X41" s="1">
        <f t="shared" si="5"/>
        <v>88</v>
      </c>
      <c r="Y41" s="29">
        <f t="shared" si="19"/>
        <v>64.312866769025504</v>
      </c>
      <c r="Z41" s="3">
        <f t="shared" si="20"/>
        <v>1.5742476268949486</v>
      </c>
      <c r="AB41" s="3">
        <f t="shared" si="21"/>
        <v>8.3564740243852214</v>
      </c>
      <c r="AC41" s="3">
        <f t="shared" si="22"/>
        <v>1.3155159402097716</v>
      </c>
      <c r="AD41" s="29">
        <f t="shared" si="23"/>
        <v>5.4965373915138294</v>
      </c>
      <c r="AE41" s="29">
        <f t="shared" si="24"/>
        <v>62.783217156192435</v>
      </c>
      <c r="AG41" s="29">
        <f t="shared" si="6"/>
        <v>44.670070365713322</v>
      </c>
    </row>
    <row r="42" spans="2:33">
      <c r="B42" s="75">
        <f t="shared" si="25"/>
        <v>19.999999999999982</v>
      </c>
      <c r="C42" s="3">
        <f t="shared" si="7"/>
        <v>6.1084615545118011</v>
      </c>
      <c r="D42" s="3">
        <f t="shared" si="8"/>
        <v>2.1274274322871438</v>
      </c>
      <c r="E42" s="3">
        <f t="shared" si="9"/>
        <v>6.4683266802625701</v>
      </c>
      <c r="H42" s="3">
        <f t="shared" si="0"/>
        <v>6.1115161089584173</v>
      </c>
      <c r="I42" s="3">
        <f t="shared" si="1"/>
        <v>2.0741574672127703</v>
      </c>
      <c r="J42" s="3">
        <f t="shared" si="10"/>
        <v>6.4538948200952833</v>
      </c>
      <c r="L42" s="28">
        <f t="shared" si="2"/>
        <v>0.42732080649996518</v>
      </c>
      <c r="M42" s="28"/>
      <c r="N42" s="3">
        <f t="shared" si="3"/>
        <v>8.1905677111004085</v>
      </c>
      <c r="O42" s="3">
        <f t="shared" si="11"/>
        <v>1.2690891220597063</v>
      </c>
      <c r="P42" s="29">
        <f t="shared" si="12"/>
        <v>5.1972801928254979</v>
      </c>
      <c r="Q42" s="29">
        <f t="shared" si="13"/>
        <v>6.4423487989211043</v>
      </c>
      <c r="R42" s="29">
        <f t="shared" si="14"/>
        <v>4.1928374643825368</v>
      </c>
      <c r="S42" s="29">
        <f t="shared" si="15"/>
        <v>64.503388559986618</v>
      </c>
      <c r="T42" s="76">
        <f t="shared" si="16"/>
        <v>19.999999999999982</v>
      </c>
      <c r="U42" s="29">
        <f t="shared" si="17"/>
        <v>58.257219424260889</v>
      </c>
      <c r="V42" s="29">
        <f t="shared" si="4"/>
        <v>81.979400086720375</v>
      </c>
      <c r="W42" s="29">
        <f t="shared" si="18"/>
        <v>23.722180662459486</v>
      </c>
      <c r="X42" s="1">
        <f t="shared" si="5"/>
        <v>88</v>
      </c>
      <c r="Y42" s="29">
        <f t="shared" si="19"/>
        <v>66.207219424260884</v>
      </c>
      <c r="Z42" s="3">
        <f t="shared" si="20"/>
        <v>1.5494519633111039</v>
      </c>
      <c r="AB42" s="3">
        <f t="shared" si="21"/>
        <v>8.1905677111004085</v>
      </c>
      <c r="AC42" s="3">
        <f t="shared" si="22"/>
        <v>1.2690891220597063</v>
      </c>
      <c r="AD42" s="29">
        <f t="shared" si="23"/>
        <v>5.1972801928254979</v>
      </c>
      <c r="AE42" s="29">
        <f t="shared" si="24"/>
        <v>64.503388559986618</v>
      </c>
      <c r="AG42" s="29">
        <f t="shared" si="6"/>
        <v>47.250327471404589</v>
      </c>
    </row>
    <row r="43" spans="2:33">
      <c r="B43" s="75">
        <f t="shared" si="25"/>
        <v>22.081790273476226</v>
      </c>
      <c r="C43" s="3">
        <f t="shared" si="7"/>
        <v>6.1389822239203458</v>
      </c>
      <c r="D43" s="3">
        <f t="shared" si="8"/>
        <v>2.4019965144795297</v>
      </c>
      <c r="E43" s="3">
        <f t="shared" si="9"/>
        <v>6.5921688389468454</v>
      </c>
      <c r="H43" s="3">
        <f t="shared" si="0"/>
        <v>6.1482716105054447</v>
      </c>
      <c r="I43" s="3">
        <f t="shared" si="1"/>
        <v>2.3811852257141441</v>
      </c>
      <c r="J43" s="3">
        <f t="shared" si="10"/>
        <v>6.5932758834820895</v>
      </c>
      <c r="L43" s="28">
        <f t="shared" si="2"/>
        <v>0.43771451674222872</v>
      </c>
      <c r="M43" s="28"/>
      <c r="N43" s="3">
        <f t="shared" si="3"/>
        <v>7.9960793305403657</v>
      </c>
      <c r="O43" s="3">
        <f t="shared" si="11"/>
        <v>1.2127627406844406</v>
      </c>
      <c r="P43" s="29">
        <f t="shared" si="12"/>
        <v>4.8486735418181706</v>
      </c>
      <c r="Q43" s="29">
        <f t="shared" si="13"/>
        <v>5.8831738607697428</v>
      </c>
      <c r="R43" s="29">
        <f t="shared" si="14"/>
        <v>3.996080291268429</v>
      </c>
      <c r="S43" s="29">
        <f t="shared" si="15"/>
        <v>66.223559963780787</v>
      </c>
      <c r="T43" s="76">
        <f t="shared" si="16"/>
        <v>22.081790273476226</v>
      </c>
      <c r="U43" s="29">
        <f t="shared" si="17"/>
        <v>60.186129043752715</v>
      </c>
      <c r="V43" s="29">
        <f t="shared" si="4"/>
        <v>82.79697191230936</v>
      </c>
      <c r="W43" s="29">
        <f t="shared" si="18"/>
        <v>22.610842868556645</v>
      </c>
      <c r="X43" s="1">
        <f t="shared" si="5"/>
        <v>88</v>
      </c>
      <c r="Y43" s="29">
        <f t="shared" si="19"/>
        <v>68.136129043752717</v>
      </c>
      <c r="Z43" s="3">
        <f t="shared" si="20"/>
        <v>1.5166967341762023</v>
      </c>
      <c r="AB43" s="3">
        <f t="shared" si="21"/>
        <v>7.9960793305403657</v>
      </c>
      <c r="AC43" s="3">
        <f t="shared" si="22"/>
        <v>1.2127627406844406</v>
      </c>
      <c r="AD43" s="29">
        <f t="shared" si="23"/>
        <v>4.8486735418181706</v>
      </c>
      <c r="AE43" s="29">
        <f t="shared" si="24"/>
        <v>66.223559963780787</v>
      </c>
      <c r="AG43" s="29">
        <f t="shared" si="6"/>
        <v>49.830584577095848</v>
      </c>
    </row>
    <row r="44" spans="2:33">
      <c r="B44" s="75">
        <f t="shared" si="25"/>
        <v>24.380273084089485</v>
      </c>
      <c r="C44" s="3">
        <f t="shared" si="7"/>
        <v>6.180350528553733</v>
      </c>
      <c r="D44" s="3">
        <f t="shared" si="8"/>
        <v>2.727434019894508</v>
      </c>
      <c r="E44" s="3">
        <f t="shared" si="9"/>
        <v>6.7554147902754513</v>
      </c>
      <c r="H44" s="3">
        <f t="shared" si="0"/>
        <v>6.2019809965858395</v>
      </c>
      <c r="I44" s="3">
        <f t="shared" si="1"/>
        <v>2.7639344717970498</v>
      </c>
      <c r="J44" s="3">
        <f t="shared" si="10"/>
        <v>6.7899854231360406</v>
      </c>
      <c r="L44" s="28">
        <f t="shared" si="2"/>
        <v>0.45036988910081655</v>
      </c>
      <c r="M44" s="28"/>
      <c r="N44" s="3">
        <f t="shared" si="3"/>
        <v>7.7713898835197561</v>
      </c>
      <c r="O44" s="3">
        <f t="shared" si="11"/>
        <v>1.1445370496731408</v>
      </c>
      <c r="P44" s="29">
        <f t="shared" si="12"/>
        <v>4.4473218245716977</v>
      </c>
      <c r="Q44" s="29">
        <f t="shared" si="13"/>
        <v>5.2398602322979908</v>
      </c>
      <c r="R44" s="29">
        <f t="shared" si="14"/>
        <v>3.7746562951045757</v>
      </c>
      <c r="S44" s="29">
        <f t="shared" si="15"/>
        <v>67.943731367574969</v>
      </c>
      <c r="T44" s="76">
        <f t="shared" si="16"/>
        <v>24.380273084089485</v>
      </c>
      <c r="U44" s="29">
        <f t="shared" si="17"/>
        <v>62.153868377897986</v>
      </c>
      <c r="V44" s="29">
        <f t="shared" si="4"/>
        <v>83.530340274807756</v>
      </c>
      <c r="W44" s="29">
        <f t="shared" si="18"/>
        <v>21.37647189690977</v>
      </c>
      <c r="X44" s="1">
        <f t="shared" si="5"/>
        <v>88</v>
      </c>
      <c r="Y44" s="29">
        <f t="shared" si="19"/>
        <v>70.103868377897982</v>
      </c>
      <c r="Z44" s="3">
        <f t="shared" si="20"/>
        <v>1.4727572118087662</v>
      </c>
      <c r="AB44" s="3">
        <f t="shared" si="21"/>
        <v>7.7713898835197561</v>
      </c>
      <c r="AC44" s="3">
        <f t="shared" si="22"/>
        <v>1.1445370496731408</v>
      </c>
      <c r="AD44" s="29">
        <f t="shared" si="23"/>
        <v>4.4473218245716977</v>
      </c>
      <c r="AE44" s="29">
        <f t="shared" si="24"/>
        <v>67.943731367574969</v>
      </c>
      <c r="AG44" s="29">
        <f t="shared" si="6"/>
        <v>52.410841682787122</v>
      </c>
    </row>
    <row r="45" spans="2:33">
      <c r="B45" s="75">
        <f t="shared" si="25"/>
        <v>26.918003852647093</v>
      </c>
      <c r="C45" s="3">
        <f t="shared" si="7"/>
        <v>6.2378860100711471</v>
      </c>
      <c r="D45" s="3">
        <f t="shared" si="8"/>
        <v>3.1198319633272562</v>
      </c>
      <c r="E45" s="3">
        <f t="shared" si="9"/>
        <v>6.9745661767625187</v>
      </c>
      <c r="H45" s="3">
        <f t="shared" si="0"/>
        <v>6.2843745381544069</v>
      </c>
      <c r="I45" s="3">
        <f t="shared" si="1"/>
        <v>3.2567282344336239</v>
      </c>
      <c r="J45" s="3">
        <f t="shared" si="10"/>
        <v>7.0781100675788142</v>
      </c>
      <c r="L45" s="28">
        <f t="shared" si="2"/>
        <v>0.46557586443445281</v>
      </c>
      <c r="M45" s="28"/>
      <c r="N45" s="3">
        <f t="shared" si="3"/>
        <v>7.5175718231260582</v>
      </c>
      <c r="O45" s="3">
        <f t="shared" si="11"/>
        <v>1.0620874430252494</v>
      </c>
      <c r="P45" s="29">
        <f t="shared" si="12"/>
        <v>3.9921593176913088</v>
      </c>
      <c r="Q45" s="29">
        <f t="shared" si="13"/>
        <v>4.5121189465276492</v>
      </c>
      <c r="R45" s="29">
        <f t="shared" si="14"/>
        <v>3.5321178822411778</v>
      </c>
      <c r="S45" s="29">
        <f t="shared" si="15"/>
        <v>69.663902771369152</v>
      </c>
      <c r="T45" s="76">
        <f t="shared" si="16"/>
        <v>26.918003852647093</v>
      </c>
      <c r="U45" s="29">
        <f t="shared" si="17"/>
        <v>64.1624620138425</v>
      </c>
      <c r="V45" s="29">
        <f t="shared" si="4"/>
        <v>84.181915180022742</v>
      </c>
      <c r="W45" s="29">
        <f t="shared" si="18"/>
        <v>20.019453166180242</v>
      </c>
      <c r="X45" s="1">
        <f t="shared" si="5"/>
        <v>88</v>
      </c>
      <c r="Y45" s="29">
        <f t="shared" si="19"/>
        <v>72.112462013842503</v>
      </c>
      <c r="Z45" s="3">
        <f t="shared" si="20"/>
        <v>1.4128065125470233</v>
      </c>
      <c r="AB45" s="3">
        <f t="shared" si="21"/>
        <v>7.5175718231260582</v>
      </c>
      <c r="AC45" s="3">
        <f t="shared" si="22"/>
        <v>1.0620874430252494</v>
      </c>
      <c r="AD45" s="29">
        <f t="shared" si="23"/>
        <v>3.9921593176913088</v>
      </c>
      <c r="AE45" s="29">
        <f t="shared" si="24"/>
        <v>69.663902771369152</v>
      </c>
      <c r="AG45" s="29">
        <f t="shared" si="6"/>
        <v>54.991098788478396</v>
      </c>
    </row>
    <row r="46" spans="2:33">
      <c r="B46" s="75">
        <f t="shared" si="25"/>
        <v>29.719885782738935</v>
      </c>
      <c r="C46" s="3">
        <f t="shared" si="7"/>
        <v>6.3205946221179286</v>
      </c>
      <c r="D46" s="3">
        <f t="shared" si="8"/>
        <v>3.6034045370611634</v>
      </c>
      <c r="E46" s="3">
        <f t="shared" si="9"/>
        <v>7.2756058603293692</v>
      </c>
      <c r="H46" s="3">
        <f t="shared" si="0"/>
        <v>6.419371679911265</v>
      </c>
      <c r="I46" s="3">
        <f t="shared" si="1"/>
        <v>3.9191515223569713</v>
      </c>
      <c r="J46" s="3">
        <f t="shared" si="10"/>
        <v>7.5211755344520279</v>
      </c>
      <c r="L46" s="28">
        <f t="shared" si="2"/>
        <v>0.48334815099142214</v>
      </c>
      <c r="M46" s="28"/>
      <c r="N46" s="3">
        <f t="shared" si="3"/>
        <v>7.2411573165656193</v>
      </c>
      <c r="O46" s="3">
        <f t="shared" si="11"/>
        <v>0.9627693547898547</v>
      </c>
      <c r="P46" s="29">
        <f t="shared" si="12"/>
        <v>3.4857821788008585</v>
      </c>
      <c r="Q46" s="29">
        <f t="shared" si="13"/>
        <v>3.7076993220898924</v>
      </c>
      <c r="R46" s="29">
        <f t="shared" si="14"/>
        <v>3.2771474552032376</v>
      </c>
      <c r="S46" s="29">
        <f t="shared" si="15"/>
        <v>71.38407417516332</v>
      </c>
      <c r="T46" s="76">
        <f t="shared" si="16"/>
        <v>29.719885782738935</v>
      </c>
      <c r="U46" s="29">
        <f t="shared" si="17"/>
        <v>66.208025483236838</v>
      </c>
      <c r="V46" s="29">
        <f t="shared" si="4"/>
        <v>84.755513707100221</v>
      </c>
      <c r="W46" s="29">
        <f t="shared" si="18"/>
        <v>18.547488223863382</v>
      </c>
      <c r="X46" s="1">
        <f t="shared" si="5"/>
        <v>88</v>
      </c>
      <c r="Y46" s="29">
        <f t="shared" si="19"/>
        <v>74.158025483236841</v>
      </c>
      <c r="Z46" s="3">
        <f t="shared" si="20"/>
        <v>1.3295793927682307</v>
      </c>
      <c r="AB46" s="3">
        <f t="shared" si="21"/>
        <v>7.2411573165656193</v>
      </c>
      <c r="AC46" s="3">
        <f t="shared" si="22"/>
        <v>0.9627693547898547</v>
      </c>
      <c r="AD46" s="29">
        <f t="shared" si="23"/>
        <v>3.4857821788008585</v>
      </c>
      <c r="AE46" s="29">
        <f t="shared" si="24"/>
        <v>71.38407417516332</v>
      </c>
      <c r="AG46" s="29">
        <f t="shared" si="6"/>
        <v>57.571355894169649</v>
      </c>
    </row>
    <row r="47" spans="2:33">
      <c r="B47" s="75">
        <f t="shared" si="25"/>
        <v>32.813414240305477</v>
      </c>
      <c r="C47" s="3">
        <f t="shared" si="7"/>
        <v>6.444718421990939</v>
      </c>
      <c r="D47" s="3">
        <f t="shared" si="8"/>
        <v>4.2163214892595118</v>
      </c>
      <c r="E47" s="3">
        <f t="shared" si="9"/>
        <v>7.7014130157745031</v>
      </c>
      <c r="H47" s="3">
        <f t="shared" si="0"/>
        <v>6.6620280041690219</v>
      </c>
      <c r="I47" s="3">
        <f t="shared" si="1"/>
        <v>4.8638705342439703</v>
      </c>
      <c r="J47" s="3">
        <f t="shared" si="10"/>
        <v>8.2486273829176575</v>
      </c>
      <c r="L47" s="28">
        <f t="shared" si="2"/>
        <v>0.50294034854956426</v>
      </c>
      <c r="M47" s="28"/>
      <c r="N47" s="3">
        <f t="shared" si="3"/>
        <v>6.9590757832289496</v>
      </c>
      <c r="O47" s="3">
        <f t="shared" si="11"/>
        <v>0.84366470446231079</v>
      </c>
      <c r="P47" s="29">
        <f t="shared" si="12"/>
        <v>2.9355633069943377</v>
      </c>
      <c r="Q47" s="29">
        <f t="shared" si="13"/>
        <v>2.847080534221913</v>
      </c>
      <c r="R47" s="29">
        <f t="shared" si="14"/>
        <v>3.0267959847952262</v>
      </c>
      <c r="S47" s="29">
        <f t="shared" si="15"/>
        <v>73.104245578957503</v>
      </c>
      <c r="T47" s="76">
        <f t="shared" si="16"/>
        <v>32.813414240305477</v>
      </c>
      <c r="U47" s="29">
        <f t="shared" si="17"/>
        <v>68.273325224178279</v>
      </c>
      <c r="V47" s="29">
        <f t="shared" si="4"/>
        <v>85.25609280310519</v>
      </c>
      <c r="W47" s="29">
        <f t="shared" si="18"/>
        <v>16.982767578926911</v>
      </c>
      <c r="X47" s="1">
        <f t="shared" si="5"/>
        <v>88</v>
      </c>
      <c r="Y47" s="29">
        <f t="shared" si="19"/>
        <v>76.223325224178282</v>
      </c>
      <c r="Z47" s="3">
        <f t="shared" si="20"/>
        <v>1.2123229157749706</v>
      </c>
      <c r="AB47" s="3">
        <f t="shared" si="21"/>
        <v>6.9590757832289496</v>
      </c>
      <c r="AC47" s="3">
        <f t="shared" si="22"/>
        <v>0.84366470446231079</v>
      </c>
      <c r="AD47" s="29">
        <f t="shared" si="23"/>
        <v>2.9355633069943377</v>
      </c>
      <c r="AE47" s="29">
        <f t="shared" si="24"/>
        <v>73.104245578957503</v>
      </c>
      <c r="AG47" s="29">
        <f t="shared" si="6"/>
        <v>60.151612999860923</v>
      </c>
    </row>
    <row r="48" spans="2:33">
      <c r="B48" s="75">
        <f t="shared" si="25"/>
        <v>36.228946570556218</v>
      </c>
      <c r="C48" s="3">
        <f t="shared" si="7"/>
        <v>6.6419857556093351</v>
      </c>
      <c r="D48" s="3">
        <f t="shared" si="8"/>
        <v>5.0222374035948221</v>
      </c>
      <c r="E48" s="3">
        <f t="shared" si="9"/>
        <v>8.3269948550352897</v>
      </c>
      <c r="H48" s="3">
        <f t="shared" si="0"/>
        <v>7.1626969922271471</v>
      </c>
      <c r="I48" s="3">
        <f t="shared" si="1"/>
        <v>6.3289950485086965</v>
      </c>
      <c r="J48" s="3">
        <f t="shared" si="10"/>
        <v>9.5582637820112186</v>
      </c>
      <c r="L48" s="28">
        <f t="shared" si="2"/>
        <v>0.52184580151307336</v>
      </c>
      <c r="M48" s="28"/>
      <c r="N48" s="3">
        <f t="shared" si="3"/>
        <v>6.7069620754864259</v>
      </c>
      <c r="O48" s="3">
        <f t="shared" si="11"/>
        <v>0.70169250697067165</v>
      </c>
      <c r="P48" s="29">
        <f t="shared" si="12"/>
        <v>2.3531125164526445</v>
      </c>
      <c r="Q48" s="29">
        <f t="shared" si="13"/>
        <v>1.9694894973551442</v>
      </c>
      <c r="R48" s="29">
        <f t="shared" si="14"/>
        <v>2.8114587676258243</v>
      </c>
      <c r="S48" s="29">
        <f t="shared" si="15"/>
        <v>74.824416982751671</v>
      </c>
      <c r="T48" s="76">
        <f t="shared" si="16"/>
        <v>36.228946570556218</v>
      </c>
      <c r="U48" s="29">
        <f t="shared" si="17"/>
        <v>70.314010933751632</v>
      </c>
      <c r="V48" s="29">
        <f t="shared" si="4"/>
        <v>85.689431165028097</v>
      </c>
      <c r="W48" s="29">
        <f t="shared" si="18"/>
        <v>15.375420231276465</v>
      </c>
      <c r="X48" s="1">
        <f t="shared" si="5"/>
        <v>88</v>
      </c>
      <c r="Y48" s="29">
        <f t="shared" si="19"/>
        <v>78.264010933751635</v>
      </c>
      <c r="Z48" s="3">
        <f t="shared" si="20"/>
        <v>1.0462151106166515</v>
      </c>
      <c r="AB48" s="3">
        <f t="shared" si="21"/>
        <v>6.7069620754864259</v>
      </c>
      <c r="AC48" s="3">
        <f t="shared" si="22"/>
        <v>0.70169250697067165</v>
      </c>
      <c r="AD48" s="29">
        <f t="shared" si="23"/>
        <v>2.3531125164526445</v>
      </c>
      <c r="AE48" s="29">
        <f t="shared" si="24"/>
        <v>74.824416982751671</v>
      </c>
      <c r="AG48" s="29">
        <f t="shared" si="6"/>
        <v>62.731870105552176</v>
      </c>
    </row>
    <row r="49" spans="2:33">
      <c r="B49" s="75">
        <f t="shared" si="25"/>
        <v>39.999999999999943</v>
      </c>
      <c r="C49" s="3">
        <f t="shared" si="7"/>
        <v>6.9811855832191245</v>
      </c>
      <c r="D49" s="3">
        <f t="shared" si="8"/>
        <v>6.1348735729242687</v>
      </c>
      <c r="E49" s="3">
        <f t="shared" si="9"/>
        <v>9.2937412220865685</v>
      </c>
      <c r="H49" s="3">
        <f t="shared" si="0"/>
        <v>8.4533676677832368</v>
      </c>
      <c r="I49" s="3">
        <f t="shared" si="1"/>
        <v>8.8905602014043854</v>
      </c>
      <c r="J49" s="3">
        <f t="shared" si="10"/>
        <v>12.267904695648665</v>
      </c>
      <c r="L49" s="28">
        <f t="shared" si="2"/>
        <v>0.53424534504247445</v>
      </c>
      <c r="M49" s="28"/>
      <c r="N49" s="3">
        <f t="shared" si="3"/>
        <v>6.5512971380625453</v>
      </c>
      <c r="O49" s="3">
        <f t="shared" si="11"/>
        <v>0.53401923968208209</v>
      </c>
      <c r="P49" s="29">
        <f t="shared" si="12"/>
        <v>1.7492593582997804</v>
      </c>
      <c r="Q49" s="29">
        <f t="shared" si="13"/>
        <v>1.1407061934025162</v>
      </c>
      <c r="R49" s="29">
        <f t="shared" si="14"/>
        <v>2.6824683869491559</v>
      </c>
      <c r="S49" s="29">
        <f t="shared" si="15"/>
        <v>76.544588386545854</v>
      </c>
      <c r="T49" s="76">
        <f t="shared" si="16"/>
        <v>39.999999999999943</v>
      </c>
      <c r="U49" s="29">
        <f t="shared" si="17"/>
        <v>72.238153398763728</v>
      </c>
      <c r="V49" s="29">
        <f t="shared" si="4"/>
        <v>86.061799739838861</v>
      </c>
      <c r="W49" s="29">
        <f t="shared" si="18"/>
        <v>13.823646341075133</v>
      </c>
      <c r="X49" s="1">
        <f t="shared" si="5"/>
        <v>88</v>
      </c>
      <c r="Y49" s="29">
        <f t="shared" si="19"/>
        <v>80.188153398763731</v>
      </c>
      <c r="Z49" s="3">
        <f t="shared" si="20"/>
        <v>0.81513512275221089</v>
      </c>
      <c r="AB49" s="3">
        <f t="shared" si="21"/>
        <v>6.5512971380625453</v>
      </c>
      <c r="AC49" s="3">
        <f t="shared" si="22"/>
        <v>0.53401923968208209</v>
      </c>
      <c r="AD49" s="29">
        <f t="shared" si="23"/>
        <v>1.7492593582997804</v>
      </c>
      <c r="AE49" s="29">
        <f t="shared" si="24"/>
        <v>76.544588386545854</v>
      </c>
      <c r="AG49" s="29">
        <f t="shared" si="6"/>
        <v>65.31212721124345</v>
      </c>
    </row>
    <row r="50" spans="2:33">
      <c r="B50" s="75">
        <f t="shared" si="25"/>
        <v>44.163580546952424</v>
      </c>
      <c r="C50" s="3">
        <f t="shared" si="7"/>
        <v>7.6341220194631694</v>
      </c>
      <c r="D50" s="3">
        <f t="shared" si="8"/>
        <v>7.7747817754838247</v>
      </c>
      <c r="E50" s="3">
        <f t="shared" si="9"/>
        <v>10.896194320240799</v>
      </c>
      <c r="H50" s="3">
        <f t="shared" si="0"/>
        <v>13.39059727584565</v>
      </c>
      <c r="I50" s="3">
        <f t="shared" si="1"/>
        <v>13.901572308570396</v>
      </c>
      <c r="J50" s="3">
        <f t="shared" si="10"/>
        <v>19.301860222639064</v>
      </c>
      <c r="L50" s="28">
        <f t="shared" si="2"/>
        <v>0.53019394432262124</v>
      </c>
      <c r="M50" s="28"/>
      <c r="N50" s="3">
        <f t="shared" si="3"/>
        <v>6.6013579322781961</v>
      </c>
      <c r="O50" s="3">
        <f t="shared" si="11"/>
        <v>0.3420063069639005</v>
      </c>
      <c r="P50" s="29">
        <f t="shared" si="12"/>
        <v>1.1288530236826582</v>
      </c>
      <c r="Q50" s="29">
        <f t="shared" si="13"/>
        <v>0.46787325601234292</v>
      </c>
      <c r="R50" s="29">
        <f t="shared" si="14"/>
        <v>2.7236204093782663</v>
      </c>
      <c r="S50" s="29">
        <f t="shared" si="15"/>
        <v>78.264759790340037</v>
      </c>
      <c r="T50" s="76">
        <f t="shared" si="16"/>
        <v>44.163580546952424</v>
      </c>
      <c r="U50" s="29">
        <f t="shared" si="17"/>
        <v>73.892205128445852</v>
      </c>
      <c r="V50" s="29">
        <f t="shared" si="4"/>
        <v>86.379654753910089</v>
      </c>
      <c r="W50" s="29">
        <f t="shared" si="18"/>
        <v>12.487449625464237</v>
      </c>
      <c r="X50" s="1">
        <f t="shared" si="5"/>
        <v>88</v>
      </c>
      <c r="Y50" s="29">
        <f t="shared" si="19"/>
        <v>81.842205128445855</v>
      </c>
      <c r="Z50" s="3">
        <f t="shared" si="20"/>
        <v>0.51808477963543875</v>
      </c>
      <c r="AB50" s="3">
        <f t="shared" si="21"/>
        <v>6.6013579322781961</v>
      </c>
      <c r="AC50" s="3">
        <f t="shared" si="22"/>
        <v>0.3420063069639005</v>
      </c>
      <c r="AD50" s="29">
        <f t="shared" si="23"/>
        <v>1.1288530236826582</v>
      </c>
      <c r="AE50" s="29">
        <f t="shared" si="24"/>
        <v>78.264759790340037</v>
      </c>
      <c r="AG50" s="29">
        <f t="shared" si="6"/>
        <v>67.892384316934724</v>
      </c>
    </row>
    <row r="51" spans="2:33">
      <c r="B51" s="75">
        <f t="shared" si="25"/>
        <v>48.760546168178941</v>
      </c>
      <c r="C51" s="3">
        <f t="shared" si="7"/>
        <v>9.1253351188377003</v>
      </c>
      <c r="D51" s="3">
        <f t="shared" si="8"/>
        <v>10.404432468959378</v>
      </c>
      <c r="E51" s="3">
        <f t="shared" si="9"/>
        <v>13.839218042657929</v>
      </c>
      <c r="H51" s="3">
        <f t="shared" si="0"/>
        <v>36.80055679022535</v>
      </c>
      <c r="I51" s="3">
        <f t="shared" si="1"/>
        <v>6.5295173876655541</v>
      </c>
      <c r="J51" s="3">
        <f t="shared" si="10"/>
        <v>37.375333809698986</v>
      </c>
      <c r="L51" s="28">
        <f t="shared" si="2"/>
        <v>0.49950308970834306</v>
      </c>
      <c r="M51" s="28"/>
      <c r="N51" s="3">
        <f t="shared" si="3"/>
        <v>7.0069636647165279</v>
      </c>
      <c r="O51" s="3">
        <f t="shared" si="11"/>
        <v>0.18747561427526849</v>
      </c>
      <c r="P51" s="29">
        <f t="shared" si="12"/>
        <v>0.65681740862360871</v>
      </c>
      <c r="Q51" s="29">
        <f t="shared" si="13"/>
        <v>0.140588423791557</v>
      </c>
      <c r="R51" s="29">
        <f t="shared" si="14"/>
        <v>3.0685962374161044</v>
      </c>
      <c r="S51" s="29">
        <f t="shared" si="15"/>
        <v>79.984931194134205</v>
      </c>
      <c r="T51" s="76">
        <f t="shared" si="16"/>
        <v>48.760546168178941</v>
      </c>
      <c r="U51" s="29">
        <f t="shared" si="17"/>
        <v>75.094444849254771</v>
      </c>
      <c r="V51" s="29">
        <f t="shared" si="4"/>
        <v>86.649376964516094</v>
      </c>
      <c r="W51" s="29">
        <f t="shared" si="18"/>
        <v>11.554932115261323</v>
      </c>
      <c r="X51" s="1">
        <f t="shared" si="5"/>
        <v>88</v>
      </c>
      <c r="Y51" s="29">
        <f t="shared" si="19"/>
        <v>83.044444849254774</v>
      </c>
      <c r="Z51" s="3">
        <f t="shared" si="20"/>
        <v>0.26755613878704615</v>
      </c>
      <c r="AB51" s="3">
        <f t="shared" si="21"/>
        <v>7.0069636647165279</v>
      </c>
      <c r="AC51" s="3">
        <f t="shared" si="22"/>
        <v>0.18747561427526849</v>
      </c>
      <c r="AD51" s="29">
        <f t="shared" si="23"/>
        <v>0.65681740862360871</v>
      </c>
      <c r="AE51" s="29">
        <f t="shared" si="24"/>
        <v>79.984931194134205</v>
      </c>
      <c r="AG51" s="29">
        <f t="shared" si="6"/>
        <v>70.472641422625983</v>
      </c>
    </row>
    <row r="52" spans="2:33">
      <c r="B52" s="75">
        <f t="shared" si="25"/>
        <v>53.836007705294158</v>
      </c>
      <c r="C52" s="3">
        <f t="shared" si="7"/>
        <v>13.591010944440749</v>
      </c>
      <c r="D52" s="3">
        <f t="shared" si="8"/>
        <v>14.871127166870599</v>
      </c>
      <c r="E52" s="3">
        <f t="shared" si="9"/>
        <v>20.146116293349074</v>
      </c>
      <c r="H52" s="3">
        <f t="shared" si="0"/>
        <v>16.522329859258456</v>
      </c>
      <c r="I52" s="3">
        <f t="shared" si="1"/>
        <v>-14.524615873791747</v>
      </c>
      <c r="J52" s="3">
        <f t="shared" si="10"/>
        <v>21.998905660494724</v>
      </c>
      <c r="L52" s="28">
        <f t="shared" si="2"/>
        <v>0.44153565184256993</v>
      </c>
      <c r="M52" s="28"/>
      <c r="N52" s="3">
        <f t="shared" si="3"/>
        <v>7.9268797103793762</v>
      </c>
      <c r="O52" s="3">
        <f t="shared" si="11"/>
        <v>0.36033063792870101</v>
      </c>
      <c r="P52" s="29">
        <f t="shared" si="12"/>
        <v>1.4281488114125387</v>
      </c>
      <c r="Q52" s="29">
        <f t="shared" si="13"/>
        <v>0.51935267452041856</v>
      </c>
      <c r="R52" s="29">
        <f t="shared" si="14"/>
        <v>3.9272138714265141</v>
      </c>
      <c r="S52" s="29">
        <f t="shared" si="15"/>
        <v>81.705102597928388</v>
      </c>
      <c r="T52" s="76">
        <f t="shared" si="16"/>
        <v>53.836007705294158</v>
      </c>
      <c r="U52" s="29">
        <f t="shared" si="17"/>
        <v>75.743168204175419</v>
      </c>
      <c r="V52" s="29">
        <f t="shared" si="4"/>
        <v>86.877069356570544</v>
      </c>
      <c r="W52" s="29">
        <f t="shared" si="18"/>
        <v>11.133901152395126</v>
      </c>
      <c r="X52" s="1">
        <f t="shared" si="5"/>
        <v>88</v>
      </c>
      <c r="Y52" s="29">
        <f t="shared" si="19"/>
        <v>83.693168204175421</v>
      </c>
      <c r="Z52" s="3">
        <f t="shared" si="20"/>
        <v>0.45456806599056593</v>
      </c>
      <c r="AB52" s="3">
        <f t="shared" si="21"/>
        <v>7.9268797103793762</v>
      </c>
      <c r="AC52" s="3">
        <f t="shared" si="22"/>
        <v>0.36033063792870101</v>
      </c>
      <c r="AD52" s="29">
        <f t="shared" si="23"/>
        <v>1.4281488114125387</v>
      </c>
      <c r="AE52" s="29">
        <f t="shared" si="24"/>
        <v>81.705102597928388</v>
      </c>
      <c r="AG52" s="29">
        <f t="shared" si="6"/>
        <v>73.052898528317243</v>
      </c>
    </row>
    <row r="53" spans="2:33">
      <c r="B53" s="75">
        <f t="shared" si="25"/>
        <v>59.439771565477834</v>
      </c>
      <c r="C53" s="3">
        <f t="shared" si="7"/>
        <v>31.094152423563415</v>
      </c>
      <c r="D53" s="3">
        <f t="shared" si="8"/>
        <v>16.142570984907355</v>
      </c>
      <c r="E53" s="3">
        <f t="shared" si="9"/>
        <v>35.034681573300581</v>
      </c>
      <c r="H53" s="3">
        <f t="shared" si="0"/>
        <v>9.0724211326109501</v>
      </c>
      <c r="I53" s="3">
        <f t="shared" si="1"/>
        <v>-8.8667662926574664</v>
      </c>
      <c r="J53" s="3">
        <f t="shared" si="10"/>
        <v>12.685754597029394</v>
      </c>
      <c r="L53" s="28">
        <f t="shared" si="2"/>
        <v>0.3689364651403621</v>
      </c>
      <c r="M53" s="28"/>
      <c r="N53" s="3">
        <f t="shared" si="3"/>
        <v>9.4867282871277663</v>
      </c>
      <c r="O53" s="3">
        <f t="shared" si="11"/>
        <v>0.74782530393180247</v>
      </c>
      <c r="P53" s="29">
        <f t="shared" si="12"/>
        <v>3.5472077323198747</v>
      </c>
      <c r="Q53" s="29">
        <f t="shared" si="13"/>
        <v>2.236970740802771</v>
      </c>
      <c r="R53" s="29">
        <f t="shared" si="14"/>
        <v>5.6248758496118825</v>
      </c>
      <c r="S53" s="29">
        <f t="shared" si="15"/>
        <v>83.42527400172257</v>
      </c>
      <c r="T53" s="76">
        <f t="shared" si="16"/>
        <v>59.439771565477834</v>
      </c>
      <c r="U53" s="29">
        <f t="shared" si="17"/>
        <v>75.903055725897843</v>
      </c>
      <c r="V53" s="29">
        <f t="shared" si="4"/>
        <v>87.068415434258668</v>
      </c>
      <c r="W53" s="29">
        <f t="shared" si="18"/>
        <v>11.165359708360825</v>
      </c>
      <c r="X53" s="1">
        <f t="shared" si="5"/>
        <v>88</v>
      </c>
      <c r="Y53" s="29">
        <f t="shared" si="19"/>
        <v>83.853055725897846</v>
      </c>
      <c r="Z53" s="3">
        <f t="shared" si="20"/>
        <v>0.78828578335747457</v>
      </c>
      <c r="AB53" s="3">
        <f t="shared" si="21"/>
        <v>9.4867282871277663</v>
      </c>
      <c r="AC53" s="3">
        <f t="shared" si="22"/>
        <v>0.74782530393180247</v>
      </c>
      <c r="AD53" s="29">
        <f t="shared" si="23"/>
        <v>3.5472077323198747</v>
      </c>
      <c r="AE53" s="29">
        <f t="shared" si="24"/>
        <v>83.42527400172257</v>
      </c>
      <c r="AG53" s="29">
        <f t="shared" si="6"/>
        <v>75.633155634008517</v>
      </c>
    </row>
    <row r="54" spans="2:33">
      <c r="B54" s="75">
        <f t="shared" si="25"/>
        <v>65.626828480610911</v>
      </c>
      <c r="C54" s="3">
        <f t="shared" si="7"/>
        <v>30.572683475580629</v>
      </c>
      <c r="D54" s="3">
        <f t="shared" si="8"/>
        <v>-15.211145503199814</v>
      </c>
      <c r="E54" s="3">
        <f t="shared" si="9"/>
        <v>34.147736710030387</v>
      </c>
      <c r="H54" s="3">
        <f t="shared" si="0"/>
        <v>7.3645259892086052</v>
      </c>
      <c r="I54" s="3">
        <f t="shared" si="1"/>
        <v>-5.8466584315091623</v>
      </c>
      <c r="J54" s="3">
        <f t="shared" si="10"/>
        <v>9.4031727550048849</v>
      </c>
      <c r="L54" s="28">
        <f t="shared" si="2"/>
        <v>0.29730750564689246</v>
      </c>
      <c r="M54" s="28"/>
      <c r="N54" s="3">
        <f t="shared" si="3"/>
        <v>11.772323044400016</v>
      </c>
      <c r="O54" s="3">
        <f t="shared" si="11"/>
        <v>1.2519522241186241</v>
      </c>
      <c r="P54" s="29">
        <f t="shared" si="12"/>
        <v>7.3691930092397655</v>
      </c>
      <c r="Q54" s="29">
        <f t="shared" si="13"/>
        <v>6.2695374859022781</v>
      </c>
      <c r="R54" s="29">
        <f t="shared" si="14"/>
        <v>8.6617243663569798</v>
      </c>
      <c r="S54" s="29">
        <f t="shared" si="15"/>
        <v>85.145445405516739</v>
      </c>
      <c r="T54" s="76">
        <f t="shared" si="16"/>
        <v>65.626828480610911</v>
      </c>
      <c r="U54" s="29">
        <f t="shared" si="17"/>
        <v>75.748312947729275</v>
      </c>
      <c r="V54" s="29">
        <f t="shared" si="4"/>
        <v>87.228593008850979</v>
      </c>
      <c r="W54" s="29">
        <f t="shared" si="18"/>
        <v>11.480280061121704</v>
      </c>
      <c r="X54" s="1">
        <f t="shared" si="5"/>
        <v>88</v>
      </c>
      <c r="Y54" s="29">
        <f t="shared" si="19"/>
        <v>83.698312947729278</v>
      </c>
      <c r="Z54" s="3">
        <f t="shared" si="20"/>
        <v>1.0634708369765355</v>
      </c>
      <c r="AB54" s="3">
        <f t="shared" si="21"/>
        <v>11.772323044400016</v>
      </c>
      <c r="AC54" s="3">
        <f t="shared" si="22"/>
        <v>1.2519522241186241</v>
      </c>
      <c r="AD54" s="29">
        <f t="shared" si="23"/>
        <v>7.3691930092397655</v>
      </c>
      <c r="AE54" s="29">
        <f t="shared" si="24"/>
        <v>85.145445405516739</v>
      </c>
      <c r="AG54" s="29">
        <f t="shared" si="6"/>
        <v>78.213412739699777</v>
      </c>
    </row>
    <row r="55" spans="2:33">
      <c r="B55" s="75">
        <f t="shared" si="25"/>
        <v>72.457893141112393</v>
      </c>
      <c r="C55" s="3">
        <f t="shared" si="7"/>
        <v>13.44573585536979</v>
      </c>
      <c r="D55" s="3">
        <f t="shared" si="8"/>
        <v>-13.580694280819543</v>
      </c>
      <c r="E55" s="3">
        <f t="shared" si="9"/>
        <v>19.110810287412239</v>
      </c>
      <c r="H55" s="3">
        <f t="shared" si="0"/>
        <v>6.7500733327661484</v>
      </c>
      <c r="I55" s="3">
        <f t="shared" si="1"/>
        <v>-4.1583113703362526</v>
      </c>
      <c r="J55" s="3">
        <f t="shared" si="10"/>
        <v>7.9281172702217555</v>
      </c>
      <c r="L55" s="28">
        <f t="shared" si="2"/>
        <v>0.235531854898784</v>
      </c>
      <c r="M55" s="28"/>
      <c r="N55" s="3">
        <f t="shared" si="3"/>
        <v>14.85998571829729</v>
      </c>
      <c r="O55" s="3">
        <f t="shared" si="11"/>
        <v>1.8743397974336025</v>
      </c>
      <c r="P55" s="29">
        <f t="shared" si="12"/>
        <v>13.926331310549784</v>
      </c>
      <c r="Q55" s="29">
        <f t="shared" si="13"/>
        <v>14.052598704973752</v>
      </c>
      <c r="R55" s="29">
        <f t="shared" si="14"/>
        <v>13.801198471749965</v>
      </c>
      <c r="S55" s="29">
        <f t="shared" si="15"/>
        <v>86.865616809310907</v>
      </c>
      <c r="T55" s="76">
        <f t="shared" si="16"/>
        <v>72.457893141112393</v>
      </c>
      <c r="U55" s="29">
        <f t="shared" si="17"/>
        <v>75.445359932283509</v>
      </c>
      <c r="V55" s="29">
        <f t="shared" si="4"/>
        <v>87.362234244801641</v>
      </c>
      <c r="W55" s="29">
        <f t="shared" si="18"/>
        <v>11.916874312518132</v>
      </c>
      <c r="X55" s="1">
        <f t="shared" si="5"/>
        <v>88</v>
      </c>
      <c r="Y55" s="29">
        <f t="shared" si="19"/>
        <v>83.395359932283512</v>
      </c>
      <c r="Z55" s="3">
        <f t="shared" si="20"/>
        <v>1.2613335120004212</v>
      </c>
      <c r="AB55" s="3">
        <f t="shared" si="21"/>
        <v>14.85998571829729</v>
      </c>
      <c r="AC55" s="3">
        <f t="shared" si="22"/>
        <v>1.8743397974336025</v>
      </c>
      <c r="AD55" s="29">
        <f t="shared" si="23"/>
        <v>13.926331310549784</v>
      </c>
      <c r="AE55" s="29">
        <f t="shared" si="24"/>
        <v>86.865616809310907</v>
      </c>
      <c r="AG55" s="29">
        <f t="shared" si="6"/>
        <v>80.793669845391037</v>
      </c>
    </row>
    <row r="56" spans="2:33">
      <c r="B56" s="75">
        <f t="shared" si="25"/>
        <v>79.999999999999844</v>
      </c>
      <c r="C56" s="3">
        <f t="shared" si="7"/>
        <v>9.0829775450737333</v>
      </c>
      <c r="D56" s="3">
        <f t="shared" si="8"/>
        <v>-9.1298800175418329</v>
      </c>
      <c r="E56" s="3">
        <f t="shared" si="9"/>
        <v>12.878477791222972</v>
      </c>
      <c r="H56" s="3">
        <f t="shared" si="0"/>
        <v>6.4650854403427207</v>
      </c>
      <c r="I56" s="3">
        <f t="shared" si="1"/>
        <v>-3.0754998653348382</v>
      </c>
      <c r="J56" s="3">
        <f t="shared" si="10"/>
        <v>7.1593316149348771</v>
      </c>
      <c r="L56" s="28">
        <f t="shared" si="2"/>
        <v>0.18569826287633404</v>
      </c>
      <c r="M56" s="28"/>
      <c r="N56" s="3">
        <f t="shared" si="3"/>
        <v>18.847779972669045</v>
      </c>
      <c r="O56" s="3">
        <f t="shared" si="11"/>
        <v>2.6326172590401078</v>
      </c>
      <c r="P56" s="29">
        <f t="shared" si="12"/>
        <v>24.809495425319508</v>
      </c>
      <c r="Q56" s="29">
        <f t="shared" si="13"/>
        <v>27.7226945303834</v>
      </c>
      <c r="R56" s="29">
        <f t="shared" si="14"/>
        <v>22.20242561863402</v>
      </c>
      <c r="S56" s="29">
        <f t="shared" si="15"/>
        <v>88.58578821310509</v>
      </c>
      <c r="T56" s="76">
        <f t="shared" si="16"/>
        <v>79.999999999999844</v>
      </c>
      <c r="U56" s="29">
        <f t="shared" si="17"/>
        <v>75.100695112280604</v>
      </c>
      <c r="V56" s="29">
        <f t="shared" si="4"/>
        <v>87.473421225553011</v>
      </c>
      <c r="W56" s="29">
        <f t="shared" si="18"/>
        <v>12.372726113272407</v>
      </c>
      <c r="X56" s="1">
        <f t="shared" si="5"/>
        <v>88</v>
      </c>
      <c r="Y56" s="29">
        <f t="shared" si="19"/>
        <v>83.050695112280607</v>
      </c>
      <c r="Z56" s="3">
        <f t="shared" si="20"/>
        <v>1.396778433777154</v>
      </c>
      <c r="AB56" s="3">
        <f t="shared" si="21"/>
        <v>18.847779972669045</v>
      </c>
      <c r="AC56" s="3">
        <f t="shared" si="22"/>
        <v>2.6326172590401078</v>
      </c>
      <c r="AD56" s="29">
        <f t="shared" si="23"/>
        <v>24.809495425319508</v>
      </c>
      <c r="AE56" s="29">
        <f t="shared" si="24"/>
        <v>88.58578821310509</v>
      </c>
      <c r="AG56" s="29">
        <f t="shared" si="6"/>
        <v>83.373926951082311</v>
      </c>
    </row>
    <row r="57" spans="2:33">
      <c r="B57" s="75">
        <f t="shared" si="25"/>
        <v>88.327161093904806</v>
      </c>
      <c r="C57" s="3">
        <f t="shared" si="7"/>
        <v>7.6172222077610199</v>
      </c>
      <c r="D57" s="3">
        <f t="shared" si="8"/>
        <v>-6.4898031435651653</v>
      </c>
      <c r="E57" s="3">
        <f t="shared" si="9"/>
        <v>10.006978515248045</v>
      </c>
      <c r="H57" s="3">
        <f t="shared" si="0"/>
        <v>6.3109627031396744</v>
      </c>
      <c r="I57" s="3">
        <f t="shared" si="1"/>
        <v>-2.3065022141759117</v>
      </c>
      <c r="J57" s="3">
        <f t="shared" si="10"/>
        <v>6.7192412298129627</v>
      </c>
      <c r="L57" s="28">
        <f t="shared" si="2"/>
        <v>0.14661342677951578</v>
      </c>
      <c r="M57" s="28"/>
      <c r="N57" s="3">
        <f t="shared" si="3"/>
        <v>23.872301990891092</v>
      </c>
      <c r="O57" s="3">
        <f t="shared" si="11"/>
        <v>3.5528270491273317</v>
      </c>
      <c r="P57" s="29">
        <f t="shared" si="12"/>
        <v>42.407080119087063</v>
      </c>
      <c r="Q57" s="29">
        <f t="shared" si="13"/>
        <v>50.490320164043297</v>
      </c>
      <c r="R57" s="29">
        <f t="shared" si="14"/>
        <v>35.617925146518928</v>
      </c>
      <c r="S57" s="29">
        <f t="shared" si="15"/>
        <v>90.305959616899258</v>
      </c>
      <c r="T57" s="76">
        <f t="shared" si="16"/>
        <v>88.327161093904806</v>
      </c>
      <c r="U57" s="29">
        <f t="shared" si="17"/>
        <v>74.768184585160583</v>
      </c>
      <c r="V57" s="29">
        <f t="shared" si="4"/>
        <v>87.565706646934501</v>
      </c>
      <c r="W57" s="29">
        <f t="shared" si="18"/>
        <v>12.797522061773918</v>
      </c>
      <c r="X57" s="1">
        <f t="shared" si="5"/>
        <v>88</v>
      </c>
      <c r="Y57" s="29">
        <f t="shared" si="19"/>
        <v>82.718184585160586</v>
      </c>
      <c r="Z57" s="3">
        <f t="shared" si="20"/>
        <v>1.4882632812214662</v>
      </c>
      <c r="AB57" s="3">
        <f t="shared" si="21"/>
        <v>23.872301990891092</v>
      </c>
      <c r="AC57" s="3">
        <f t="shared" si="22"/>
        <v>3.5528270491273317</v>
      </c>
      <c r="AD57" s="29">
        <f t="shared" si="23"/>
        <v>42.407080119087063</v>
      </c>
      <c r="AE57" s="29">
        <f t="shared" si="24"/>
        <v>90.305959616899258</v>
      </c>
      <c r="AG57" s="29">
        <f t="shared" si="6"/>
        <v>85.954184056773556</v>
      </c>
    </row>
    <row r="58" spans="2:33">
      <c r="B58" s="75">
        <f t="shared" si="25"/>
        <v>97.521092336357825</v>
      </c>
      <c r="C58" s="3">
        <f t="shared" si="7"/>
        <v>6.9729326514496162</v>
      </c>
      <c r="D58" s="3">
        <f t="shared" si="8"/>
        <v>-4.8152015492050815</v>
      </c>
      <c r="E58" s="3">
        <f t="shared" si="9"/>
        <v>8.4739575005495027</v>
      </c>
      <c r="H58" s="3">
        <f t="shared" si="0"/>
        <v>6.2187146294775983</v>
      </c>
      <c r="I58" s="3">
        <f t="shared" si="1"/>
        <v>-1.7172328923608093</v>
      </c>
      <c r="J58" s="3">
        <f t="shared" si="10"/>
        <v>6.4514572345699213</v>
      </c>
      <c r="L58" s="28">
        <f t="shared" si="2"/>
        <v>0.11621448808826015</v>
      </c>
      <c r="M58" s="28"/>
      <c r="N58" s="3">
        <f t="shared" si="3"/>
        <v>30.116726903636085</v>
      </c>
      <c r="O58" s="3">
        <f t="shared" si="11"/>
        <v>4.6682053075166641</v>
      </c>
      <c r="P58" s="29">
        <f t="shared" si="12"/>
        <v>70.295532188291943</v>
      </c>
      <c r="Q58" s="29">
        <f t="shared" si="13"/>
        <v>87.168563172507007</v>
      </c>
      <c r="R58" s="29">
        <f t="shared" si="14"/>
        <v>56.68857746176235</v>
      </c>
      <c r="S58" s="29">
        <f t="shared" si="15"/>
        <v>92.026131020693441</v>
      </c>
      <c r="T58" s="76">
        <f t="shared" si="16"/>
        <v>97.521092336357825</v>
      </c>
      <c r="U58" s="29">
        <f t="shared" si="17"/>
        <v>74.470086567930508</v>
      </c>
      <c r="V58" s="29">
        <f t="shared" si="4"/>
        <v>87.642150647324542</v>
      </c>
      <c r="W58" s="29">
        <f t="shared" si="18"/>
        <v>13.172064079394033</v>
      </c>
      <c r="X58" s="1">
        <f t="shared" si="5"/>
        <v>88</v>
      </c>
      <c r="Y58" s="29">
        <f t="shared" si="19"/>
        <v>82.420086567930511</v>
      </c>
      <c r="Z58" s="3">
        <f t="shared" si="20"/>
        <v>1.5500374002969948</v>
      </c>
      <c r="AB58" s="3">
        <f t="shared" si="21"/>
        <v>30.116726903636085</v>
      </c>
      <c r="AC58" s="3">
        <f t="shared" si="22"/>
        <v>4.6682053075166641</v>
      </c>
      <c r="AD58" s="29">
        <f t="shared" si="23"/>
        <v>70.295532188291943</v>
      </c>
      <c r="AE58" s="29">
        <f t="shared" si="24"/>
        <v>92.026131020693441</v>
      </c>
      <c r="AG58" s="29">
        <f t="shared" si="6"/>
        <v>88.53444116246483</v>
      </c>
    </row>
    <row r="59" spans="2:33">
      <c r="B59" s="75">
        <f t="shared" si="25"/>
        <v>107.67201541058824</v>
      </c>
      <c r="C59" s="3">
        <f t="shared" si="7"/>
        <v>6.6373881569226434</v>
      </c>
      <c r="D59" s="3">
        <f t="shared" si="8"/>
        <v>-3.649526024086315</v>
      </c>
      <c r="E59" s="3">
        <f t="shared" si="9"/>
        <v>7.5745601684942887</v>
      </c>
      <c r="H59" s="3">
        <f t="shared" si="0"/>
        <v>6.1594245951221689</v>
      </c>
      <c r="I59" s="3">
        <f t="shared" si="1"/>
        <v>-1.2381372380034734</v>
      </c>
      <c r="J59" s="3">
        <f t="shared" si="10"/>
        <v>6.2826344126589735</v>
      </c>
      <c r="L59" s="28">
        <f t="shared" si="2"/>
        <v>9.2550686723268175E-2</v>
      </c>
      <c r="M59" s="28"/>
      <c r="N59" s="3">
        <f t="shared" si="3"/>
        <v>37.817115398237931</v>
      </c>
      <c r="O59" s="3">
        <f t="shared" si="11"/>
        <v>6.0193086075547644</v>
      </c>
      <c r="P59" s="29">
        <f t="shared" si="12"/>
        <v>113.8164441147527</v>
      </c>
      <c r="Q59" s="29">
        <f t="shared" si="13"/>
        <v>144.9283044519315</v>
      </c>
      <c r="R59" s="29">
        <f t="shared" si="14"/>
        <v>89.383388565227776</v>
      </c>
      <c r="S59" s="29">
        <f t="shared" si="15"/>
        <v>93.746302424487624</v>
      </c>
      <c r="T59" s="76">
        <f t="shared" si="16"/>
        <v>107.67201541058824</v>
      </c>
      <c r="U59" s="29">
        <f t="shared" si="17"/>
        <v>74.21264541212885</v>
      </c>
      <c r="V59" s="29">
        <f t="shared" si="4"/>
        <v>87.705366613230979</v>
      </c>
      <c r="W59" s="29">
        <f t="shared" si="18"/>
        <v>13.492721201102128</v>
      </c>
      <c r="X59" s="1">
        <f t="shared" si="5"/>
        <v>88</v>
      </c>
      <c r="Y59" s="29">
        <f t="shared" si="19"/>
        <v>82.162645412128853</v>
      </c>
      <c r="Z59" s="3">
        <f t="shared" si="20"/>
        <v>1.5916889863670647</v>
      </c>
      <c r="AB59" s="3">
        <f t="shared" si="21"/>
        <v>37.817115398237931</v>
      </c>
      <c r="AC59" s="3">
        <f t="shared" si="22"/>
        <v>6.0193086075547644</v>
      </c>
      <c r="AD59" s="29">
        <f t="shared" si="23"/>
        <v>113.8164441147527</v>
      </c>
      <c r="AE59" s="29">
        <f t="shared" si="24"/>
        <v>93.746302424487624</v>
      </c>
      <c r="AG59" s="29">
        <f t="shared" si="6"/>
        <v>91.114698268156104</v>
      </c>
    </row>
    <row r="60" spans="2:33">
      <c r="B60" s="75">
        <f t="shared" si="25"/>
        <v>118.8795431309556</v>
      </c>
      <c r="C60" s="3">
        <f t="shared" si="7"/>
        <v>6.4419142881979994</v>
      </c>
      <c r="D60" s="3">
        <f t="shared" si="8"/>
        <v>-2.7744708282095658</v>
      </c>
      <c r="E60" s="3">
        <f t="shared" si="9"/>
        <v>7.0139823262591277</v>
      </c>
      <c r="H60" s="3">
        <f t="shared" si="0"/>
        <v>6.1192762538606509</v>
      </c>
      <c r="I60" s="3">
        <f t="shared" si="1"/>
        <v>-0.82951734606955174</v>
      </c>
      <c r="J60" s="3">
        <f t="shared" si="10"/>
        <v>6.1752441974785999</v>
      </c>
      <c r="L60" s="28">
        <f t="shared" si="2"/>
        <v>7.4042354361533821E-2</v>
      </c>
      <c r="M60" s="28"/>
      <c r="N60" s="3">
        <f t="shared" si="3"/>
        <v>47.270241879535718</v>
      </c>
      <c r="O60" s="3">
        <f t="shared" si="11"/>
        <v>7.6547971817594718</v>
      </c>
      <c r="P60" s="29">
        <f t="shared" si="12"/>
        <v>180.92205716027928</v>
      </c>
      <c r="Q60" s="29">
        <f t="shared" si="13"/>
        <v>234.38367957549102</v>
      </c>
      <c r="R60" s="29">
        <f t="shared" si="14"/>
        <v>139.65473545936328</v>
      </c>
      <c r="S60" s="29">
        <f t="shared" si="15"/>
        <v>95.466473828281806</v>
      </c>
      <c r="T60" s="76">
        <f t="shared" si="16"/>
        <v>118.8795431309556</v>
      </c>
      <c r="U60" s="29">
        <f t="shared" si="17"/>
        <v>73.994828300427088</v>
      </c>
      <c r="V60" s="29">
        <f t="shared" si="4"/>
        <v>87.757570641072959</v>
      </c>
      <c r="W60" s="29">
        <f t="shared" si="18"/>
        <v>13.762742340645872</v>
      </c>
      <c r="X60" s="1">
        <f t="shared" si="5"/>
        <v>88</v>
      </c>
      <c r="Y60" s="29">
        <f t="shared" si="19"/>
        <v>81.944828300427091</v>
      </c>
      <c r="Z60" s="3">
        <f t="shared" si="20"/>
        <v>1.6193691585643006</v>
      </c>
      <c r="AB60" s="3">
        <f t="shared" si="21"/>
        <v>47.270241879535718</v>
      </c>
      <c r="AC60" s="3">
        <f t="shared" si="22"/>
        <v>7.6547971817594718</v>
      </c>
      <c r="AD60" s="29">
        <f t="shared" si="23"/>
        <v>180.92205716027928</v>
      </c>
      <c r="AE60" s="29">
        <f t="shared" si="24"/>
        <v>95.466473828281806</v>
      </c>
      <c r="AG60" s="29">
        <f t="shared" si="6"/>
        <v>93.694955373847378</v>
      </c>
    </row>
    <row r="61" spans="2:33">
      <c r="B61" s="75">
        <f t="shared" si="25"/>
        <v>131.25365696122176</v>
      </c>
      <c r="C61" s="3">
        <f t="shared" si="7"/>
        <v>6.3187691491127316</v>
      </c>
      <c r="D61" s="3">
        <f t="shared" si="8"/>
        <v>-2.0768774545080273</v>
      </c>
      <c r="E61" s="3">
        <f t="shared" si="9"/>
        <v>6.6513354689733228</v>
      </c>
      <c r="H61" s="3">
        <f t="shared" si="0"/>
        <v>6.0909978655691814</v>
      </c>
      <c r="I61" s="3">
        <f t="shared" si="1"/>
        <v>-0.46688780669574581</v>
      </c>
      <c r="J61" s="3">
        <f t="shared" si="10"/>
        <v>6.1088656248447215</v>
      </c>
      <c r="L61" s="28">
        <f t="shared" si="2"/>
        <v>5.9479207908582903E-2</v>
      </c>
      <c r="M61" s="28"/>
      <c r="N61" s="3">
        <f t="shared" si="3"/>
        <v>58.844092298259184</v>
      </c>
      <c r="O61" s="3">
        <f t="shared" si="11"/>
        <v>9.6325727085795769</v>
      </c>
      <c r="P61" s="29">
        <f t="shared" si="12"/>
        <v>283.40999876667456</v>
      </c>
      <c r="Q61" s="29">
        <f t="shared" si="13"/>
        <v>371.14582794428833</v>
      </c>
      <c r="R61" s="29">
        <f t="shared" si="14"/>
        <v>216.41419990037787</v>
      </c>
      <c r="S61" s="29">
        <f t="shared" si="15"/>
        <v>97.186645232075975</v>
      </c>
      <c r="T61" s="76">
        <f t="shared" si="16"/>
        <v>131.25365696122176</v>
      </c>
      <c r="U61" s="29">
        <f t="shared" si="17"/>
        <v>73.81269883544627</v>
      </c>
      <c r="V61" s="29">
        <f t="shared" si="4"/>
        <v>87.800630961781025</v>
      </c>
      <c r="W61" s="29">
        <f t="shared" si="18"/>
        <v>13.987932126334755</v>
      </c>
      <c r="X61" s="1">
        <f t="shared" si="5"/>
        <v>88</v>
      </c>
      <c r="Y61" s="29">
        <f t="shared" si="19"/>
        <v>81.762698835446272</v>
      </c>
      <c r="Z61" s="3">
        <f t="shared" si="20"/>
        <v>1.6369651280804176</v>
      </c>
      <c r="AB61" s="3">
        <f t="shared" si="21"/>
        <v>53.505738010048979</v>
      </c>
      <c r="AC61" s="3">
        <f t="shared" si="22"/>
        <v>8.7587027274657103</v>
      </c>
      <c r="AD61" s="29">
        <f t="shared" si="23"/>
        <v>234.32042672184087</v>
      </c>
      <c r="AE61" s="29">
        <f t="shared" si="24"/>
        <v>96.360595045912973</v>
      </c>
      <c r="AG61" s="29">
        <f t="shared" si="6"/>
        <v>95.449162293375636</v>
      </c>
    </row>
    <row r="62" spans="2:33">
      <c r="B62" s="75">
        <f t="shared" si="25"/>
        <v>144.91578628222473</v>
      </c>
      <c r="C62" s="3">
        <f t="shared" si="7"/>
        <v>6.2366385841765766</v>
      </c>
      <c r="D62" s="3">
        <f t="shared" si="8"/>
        <v>-1.4928636821901375</v>
      </c>
      <c r="E62" s="3">
        <f t="shared" si="9"/>
        <v>6.4128233098411735</v>
      </c>
      <c r="H62" s="3">
        <f t="shared" si="0"/>
        <v>6.0704662664637095</v>
      </c>
      <c r="I62" s="3">
        <f t="shared" si="1"/>
        <v>-0.13411032212887997</v>
      </c>
      <c r="J62" s="3">
        <f t="shared" si="10"/>
        <v>6.071947485838078</v>
      </c>
      <c r="L62" s="28">
        <f t="shared" si="2"/>
        <v>4.7950765613845071E-2</v>
      </c>
      <c r="M62" s="28"/>
      <c r="N62" s="3">
        <f t="shared" si="3"/>
        <v>72.991535279875222</v>
      </c>
      <c r="O62" s="3">
        <f t="shared" si="11"/>
        <v>12.021107799452682</v>
      </c>
      <c r="P62" s="29">
        <f t="shared" si="12"/>
        <v>438.71955702346685</v>
      </c>
      <c r="Q62" s="29">
        <f t="shared" si="13"/>
        <v>578.02813090424843</v>
      </c>
      <c r="R62" s="29">
        <f t="shared" si="14"/>
        <v>332.98526390707934</v>
      </c>
      <c r="S62" s="29">
        <f t="shared" si="15"/>
        <v>98.906816635870157</v>
      </c>
      <c r="T62" s="76">
        <f t="shared" si="16"/>
        <v>144.91578628222473</v>
      </c>
      <c r="U62" s="29">
        <f t="shared" si="17"/>
        <v>73.661477628395119</v>
      </c>
      <c r="V62" s="29">
        <f t="shared" si="4"/>
        <v>87.836114951142349</v>
      </c>
      <c r="W62" s="29">
        <f t="shared" si="18"/>
        <v>14.17463732274723</v>
      </c>
      <c r="X62" s="1">
        <f t="shared" si="5"/>
        <v>88</v>
      </c>
      <c r="Y62" s="29">
        <f t="shared" si="19"/>
        <v>81.611477628395122</v>
      </c>
      <c r="Z62" s="3">
        <f t="shared" si="20"/>
        <v>1.6469180643152013</v>
      </c>
      <c r="AB62" s="3">
        <f t="shared" si="21"/>
        <v>53.505738010048979</v>
      </c>
      <c r="AC62" s="3">
        <f t="shared" si="22"/>
        <v>8.8119566473266158</v>
      </c>
      <c r="AD62" s="29">
        <f t="shared" si="23"/>
        <v>235.74512186388372</v>
      </c>
      <c r="AE62" s="29">
        <f t="shared" si="24"/>
        <v>96.209373838861808</v>
      </c>
      <c r="AG62" s="29">
        <f t="shared" si="6"/>
        <v>96.158026788221548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6"/>
  <sheetViews>
    <sheetView showGridLines="0" topLeftCell="A2" zoomScale="75" workbookViewId="0">
      <selection activeCell="M29" sqref="M29"/>
    </sheetView>
  </sheetViews>
  <sheetFormatPr defaultRowHeight="12.75"/>
  <cols>
    <col min="1" max="1" width="3.85546875" customWidth="1"/>
    <col min="2" max="2" width="9.140625" style="52"/>
    <col min="3" max="3" width="9.140625" style="1"/>
    <col min="6" max="6" width="9.140625" style="52"/>
    <col min="7" max="7" width="12.42578125" style="1" bestFit="1" customWidth="1"/>
  </cols>
  <sheetData>
    <row r="2" spans="2:13">
      <c r="B2" s="59" t="s">
        <v>134</v>
      </c>
      <c r="J2" s="37" t="s">
        <v>120</v>
      </c>
      <c r="M2" s="38" t="s">
        <v>121</v>
      </c>
    </row>
    <row r="3" spans="2:13">
      <c r="B3" s="2" t="s">
        <v>123</v>
      </c>
    </row>
    <row r="4" spans="2:13">
      <c r="B4" s="2"/>
    </row>
    <row r="5" spans="2:13">
      <c r="B5" s="24" t="s">
        <v>110</v>
      </c>
    </row>
    <row r="6" spans="2:13">
      <c r="B6" s="4" t="s">
        <v>99</v>
      </c>
      <c r="C6" s="5">
        <v>3.5</v>
      </c>
      <c r="D6" s="6" t="s">
        <v>12</v>
      </c>
    </row>
    <row r="7" spans="2:13">
      <c r="B7" s="7" t="s">
        <v>100</v>
      </c>
      <c r="C7" s="10">
        <v>55.1</v>
      </c>
      <c r="D7" s="9" t="s">
        <v>12</v>
      </c>
    </row>
    <row r="8" spans="2:13">
      <c r="B8" s="7" t="s">
        <v>101</v>
      </c>
      <c r="C8" s="16">
        <f>SQRT(C6*C7)</f>
        <v>13.887044321957067</v>
      </c>
      <c r="D8" s="9" t="s">
        <v>12</v>
      </c>
    </row>
    <row r="9" spans="2:13">
      <c r="B9" s="7" t="s">
        <v>102</v>
      </c>
      <c r="C9" s="10">
        <v>26.9</v>
      </c>
      <c r="D9" s="9" t="s">
        <v>14</v>
      </c>
    </row>
    <row r="10" spans="2:13">
      <c r="B10" s="7" t="s">
        <v>103</v>
      </c>
      <c r="C10" s="10">
        <v>48.8</v>
      </c>
      <c r="D10" s="9" t="s">
        <v>14</v>
      </c>
    </row>
    <row r="11" spans="2:13">
      <c r="B11" s="7" t="s">
        <v>105</v>
      </c>
      <c r="C11" s="16">
        <f>SQRT(C9*C10)</f>
        <v>36.23147802671042</v>
      </c>
      <c r="D11" s="9" t="s">
        <v>14</v>
      </c>
    </row>
    <row r="12" spans="2:13">
      <c r="B12" s="7" t="s">
        <v>93</v>
      </c>
      <c r="C12" s="11">
        <f>C11*SQRT(C6/C7)/(C10-C9)</f>
        <v>0.41696553481585263</v>
      </c>
      <c r="D12" s="9" t="s">
        <v>57</v>
      </c>
    </row>
    <row r="13" spans="2:13">
      <c r="B13" s="12" t="s">
        <v>104</v>
      </c>
      <c r="C13" s="55">
        <v>37.1</v>
      </c>
      <c r="D13" s="14" t="s">
        <v>14</v>
      </c>
    </row>
    <row r="14" spans="2:13">
      <c r="B14" s="52" t="s">
        <v>57</v>
      </c>
      <c r="C14" s="53" t="s">
        <v>57</v>
      </c>
      <c r="D14" t="s">
        <v>57</v>
      </c>
    </row>
    <row r="15" spans="2:13">
      <c r="B15" t="s">
        <v>106</v>
      </c>
      <c r="C15"/>
    </row>
    <row r="16" spans="2:13">
      <c r="B16" s="4" t="s">
        <v>37</v>
      </c>
      <c r="C16" s="35">
        <f>(C11/(2*C12))*(1-SQRT(1-(2*C12)^2))</f>
        <v>19.469789441120625</v>
      </c>
      <c r="D16" s="6" t="s">
        <v>14</v>
      </c>
    </row>
    <row r="17" spans="1:10">
      <c r="B17" s="12" t="s">
        <v>38</v>
      </c>
      <c r="C17" s="13">
        <f>(C11/(2*C12))*(1+SQRT(1-(2*C12)^2))</f>
        <v>67.423430744839294</v>
      </c>
      <c r="D17" s="14" t="s">
        <v>14</v>
      </c>
    </row>
    <row r="18" spans="1:10">
      <c r="B18"/>
      <c r="C18" s="36"/>
    </row>
    <row r="19" spans="1:10">
      <c r="B19" t="s">
        <v>109</v>
      </c>
      <c r="C19" s="36"/>
    </row>
    <row r="20" spans="1:10">
      <c r="B20" s="4" t="s">
        <v>39</v>
      </c>
      <c r="C20" s="35">
        <f>C11/(2*C12)</f>
        <v>43.446610092979959</v>
      </c>
      <c r="D20" s="6" t="s">
        <v>14</v>
      </c>
    </row>
    <row r="21" spans="1:10">
      <c r="B21" s="27" t="s">
        <v>44</v>
      </c>
      <c r="C21" s="13" t="e">
        <f>C20*SQRT(-1+(2*C12)^2)</f>
        <v>#NUM!</v>
      </c>
      <c r="D21" s="14" t="s">
        <v>14</v>
      </c>
    </row>
    <row r="23" spans="1:10">
      <c r="A23" s="20" t="s">
        <v>57</v>
      </c>
      <c r="B23" t="s">
        <v>122</v>
      </c>
    </row>
    <row r="24" spans="1:10">
      <c r="A24" s="20"/>
      <c r="B24" s="4" t="s">
        <v>118</v>
      </c>
      <c r="C24" s="5">
        <v>10</v>
      </c>
      <c r="D24" s="6" t="s">
        <v>14</v>
      </c>
    </row>
    <row r="25" spans="1:10">
      <c r="A25" s="20"/>
      <c r="B25" s="12" t="s">
        <v>119</v>
      </c>
      <c r="C25" s="22">
        <v>8</v>
      </c>
      <c r="D25" s="14" t="s">
        <v>112</v>
      </c>
    </row>
    <row r="28" spans="1:10">
      <c r="B28" t="s">
        <v>117</v>
      </c>
      <c r="H28" s="24" t="s">
        <v>136</v>
      </c>
      <c r="I28" s="1"/>
    </row>
    <row r="29" spans="1:10">
      <c r="B29" s="4" t="s">
        <v>111</v>
      </c>
      <c r="C29" s="25" t="s">
        <v>113</v>
      </c>
      <c r="D29" s="25" t="s">
        <v>114</v>
      </c>
      <c r="E29" s="25" t="s">
        <v>115</v>
      </c>
      <c r="F29" s="58" t="s">
        <v>116</v>
      </c>
      <c r="H29" s="4" t="s">
        <v>0</v>
      </c>
      <c r="I29" s="25">
        <f>C6</f>
        <v>3.5</v>
      </c>
      <c r="J29" s="6" t="s">
        <v>12</v>
      </c>
    </row>
    <row r="30" spans="1:10">
      <c r="B30" s="12" t="s">
        <v>14</v>
      </c>
      <c r="C30" s="30" t="s">
        <v>12</v>
      </c>
      <c r="D30" s="30" t="s">
        <v>12</v>
      </c>
      <c r="E30" s="30" t="s">
        <v>12</v>
      </c>
      <c r="F30" s="43" t="s">
        <v>12</v>
      </c>
      <c r="H30" s="7" t="s">
        <v>1</v>
      </c>
      <c r="I30" s="54" t="s">
        <v>108</v>
      </c>
      <c r="J30" s="9" t="s">
        <v>13</v>
      </c>
    </row>
    <row r="31" spans="1:10">
      <c r="B31" s="57">
        <f>C$24</f>
        <v>10</v>
      </c>
      <c r="C31" s="3">
        <f t="shared" ref="C31:C66" si="0">$C$6*SQRT(((1+$I$34/$I$35)^2+($I$34^2)*(B31/$C$11-$C$11/B31)^2)/(1+($I$34^2)*(B31/$C$11-$C$11/B31)^2))</f>
        <v>4.3012499449256927</v>
      </c>
      <c r="D31" s="1">
        <f>$C$6</f>
        <v>3.5</v>
      </c>
      <c r="E31" s="1">
        <f>$C$7</f>
        <v>55.1</v>
      </c>
      <c r="F31" s="3">
        <f>$C$8</f>
        <v>13.887044321957067</v>
      </c>
      <c r="H31" s="7" t="s">
        <v>20</v>
      </c>
      <c r="I31" s="51">
        <f>1000000000/(I32*(2*PI()*C11)^2)</f>
        <v>558.81504795676142</v>
      </c>
      <c r="J31" s="9" t="s">
        <v>24</v>
      </c>
    </row>
    <row r="32" spans="1:10">
      <c r="B32" s="56">
        <f t="shared" ref="B32:B66" si="1">B31*(1+C$25/100)</f>
        <v>10.8</v>
      </c>
      <c r="C32" s="3">
        <f t="shared" si="0"/>
        <v>4.4432045745031159</v>
      </c>
      <c r="D32" s="1">
        <f t="shared" ref="D32:D66" si="2">$C$6</f>
        <v>3.5</v>
      </c>
      <c r="E32" s="1">
        <f t="shared" ref="E32:E66" si="3">$C$7</f>
        <v>55.1</v>
      </c>
      <c r="F32" s="3">
        <f t="shared" ref="F32:F66" si="4">$C$8</f>
        <v>13.887044321957067</v>
      </c>
      <c r="H32" s="7" t="s">
        <v>19</v>
      </c>
      <c r="I32" s="51">
        <f>1000*(C6*I33/(C6+I33))/(C12*2*PI()*C11)</f>
        <v>34.530277525017226</v>
      </c>
      <c r="J32" s="9" t="s">
        <v>13</v>
      </c>
    </row>
    <row r="33" spans="2:10">
      <c r="B33" s="56">
        <f t="shared" si="1"/>
        <v>11.664000000000001</v>
      </c>
      <c r="C33" s="3">
        <f t="shared" si="0"/>
        <v>4.612463865548639</v>
      </c>
      <c r="D33" s="1">
        <f t="shared" si="2"/>
        <v>3.5</v>
      </c>
      <c r="E33" s="1">
        <f t="shared" si="3"/>
        <v>55.1</v>
      </c>
      <c r="F33" s="3">
        <f t="shared" si="4"/>
        <v>13.887044321957067</v>
      </c>
      <c r="H33" s="7" t="s">
        <v>21</v>
      </c>
      <c r="I33" s="51">
        <f>C7-C6</f>
        <v>51.6</v>
      </c>
      <c r="J33" s="9" t="s">
        <v>12</v>
      </c>
    </row>
    <row r="34" spans="2:10">
      <c r="B34" s="56">
        <f t="shared" si="1"/>
        <v>12.597120000000002</v>
      </c>
      <c r="C34" s="3">
        <f t="shared" si="0"/>
        <v>4.815252937694785</v>
      </c>
      <c r="D34" s="1">
        <f t="shared" si="2"/>
        <v>3.5</v>
      </c>
      <c r="E34" s="1">
        <f t="shared" si="3"/>
        <v>55.1</v>
      </c>
      <c r="F34" s="3">
        <f t="shared" si="4"/>
        <v>13.887044321957067</v>
      </c>
      <c r="H34" s="7" t="s">
        <v>26</v>
      </c>
      <c r="I34" s="11">
        <f>1000*I33/(2*PI()*C11*I32)</f>
        <v>6.5642288481009938</v>
      </c>
      <c r="J34" s="9"/>
    </row>
    <row r="35" spans="2:10">
      <c r="B35" s="56">
        <f t="shared" si="1"/>
        <v>13.604889600000003</v>
      </c>
      <c r="C35" s="3">
        <f t="shared" si="0"/>
        <v>5.0596690112956635</v>
      </c>
      <c r="D35" s="1">
        <f t="shared" si="2"/>
        <v>3.5</v>
      </c>
      <c r="E35" s="1">
        <f t="shared" si="3"/>
        <v>55.1</v>
      </c>
      <c r="F35" s="3">
        <f t="shared" si="4"/>
        <v>13.887044321957067</v>
      </c>
      <c r="H35" s="7" t="s">
        <v>27</v>
      </c>
      <c r="I35" s="11">
        <f>1000*I29/(2*PI()*C11*I32)</f>
        <v>0.4452480807820442</v>
      </c>
      <c r="J35" s="9"/>
    </row>
    <row r="36" spans="2:10">
      <c r="B36" s="56">
        <f t="shared" si="1"/>
        <v>14.693280768000005</v>
      </c>
      <c r="C36" s="3">
        <f t="shared" si="0"/>
        <v>5.3564572201369884</v>
      </c>
      <c r="D36" s="1">
        <f t="shared" si="2"/>
        <v>3.5</v>
      </c>
      <c r="E36" s="1">
        <f t="shared" si="3"/>
        <v>55.1</v>
      </c>
      <c r="F36" s="3">
        <f t="shared" si="4"/>
        <v>13.887044321957067</v>
      </c>
      <c r="H36" s="12" t="s">
        <v>107</v>
      </c>
      <c r="I36" s="17">
        <f>I35*I34/(I35+I34)</f>
        <v>0.41696553481585258</v>
      </c>
      <c r="J36" s="14"/>
    </row>
    <row r="37" spans="2:10">
      <c r="B37" s="56">
        <f t="shared" si="1"/>
        <v>15.868743229440007</v>
      </c>
      <c r="C37" s="3">
        <f t="shared" si="0"/>
        <v>5.7202127928590105</v>
      </c>
      <c r="D37" s="1">
        <f t="shared" si="2"/>
        <v>3.5</v>
      </c>
      <c r="E37" s="1">
        <f t="shared" si="3"/>
        <v>55.1</v>
      </c>
      <c r="F37" s="3">
        <f t="shared" si="4"/>
        <v>13.887044321957067</v>
      </c>
    </row>
    <row r="38" spans="2:10">
      <c r="B38" s="56">
        <f t="shared" si="1"/>
        <v>17.138242687795209</v>
      </c>
      <c r="C38" s="3">
        <f t="shared" si="0"/>
        <v>6.1713076128771531</v>
      </c>
      <c r="D38" s="1">
        <f t="shared" si="2"/>
        <v>3.5</v>
      </c>
      <c r="E38" s="1">
        <f t="shared" si="3"/>
        <v>55.1</v>
      </c>
      <c r="F38" s="3">
        <f t="shared" si="4"/>
        <v>13.887044321957067</v>
      </c>
    </row>
    <row r="39" spans="2:10">
      <c r="B39" s="56">
        <f t="shared" si="1"/>
        <v>18.509302102818829</v>
      </c>
      <c r="C39" s="3">
        <f t="shared" si="0"/>
        <v>6.7391005915691471</v>
      </c>
      <c r="D39" s="1">
        <f t="shared" si="2"/>
        <v>3.5</v>
      </c>
      <c r="E39" s="1">
        <f t="shared" si="3"/>
        <v>55.1</v>
      </c>
      <c r="F39" s="3">
        <f t="shared" si="4"/>
        <v>13.887044321957067</v>
      </c>
    </row>
    <row r="40" spans="2:10">
      <c r="B40" s="56">
        <f t="shared" si="1"/>
        <v>19.990046271044335</v>
      </c>
      <c r="C40" s="3">
        <f t="shared" si="0"/>
        <v>7.4675397936360755</v>
      </c>
      <c r="D40" s="1">
        <f t="shared" si="2"/>
        <v>3.5</v>
      </c>
      <c r="E40" s="1">
        <f t="shared" si="3"/>
        <v>55.1</v>
      </c>
      <c r="F40" s="3">
        <f t="shared" si="4"/>
        <v>13.887044321957067</v>
      </c>
    </row>
    <row r="41" spans="2:10">
      <c r="B41" s="56">
        <f t="shared" si="1"/>
        <v>21.589249972727885</v>
      </c>
      <c r="C41" s="3">
        <f t="shared" si="0"/>
        <v>8.4254935992762832</v>
      </c>
      <c r="D41" s="1">
        <f t="shared" si="2"/>
        <v>3.5</v>
      </c>
      <c r="E41" s="1">
        <f t="shared" si="3"/>
        <v>55.1</v>
      </c>
      <c r="F41" s="3">
        <f t="shared" si="4"/>
        <v>13.887044321957067</v>
      </c>
    </row>
    <row r="42" spans="2:10">
      <c r="B42" s="56">
        <f t="shared" si="1"/>
        <v>23.316389970546116</v>
      </c>
      <c r="C42" s="3">
        <f t="shared" si="0"/>
        <v>9.727126306300498</v>
      </c>
      <c r="D42" s="1">
        <f t="shared" si="2"/>
        <v>3.5</v>
      </c>
      <c r="E42" s="1">
        <f t="shared" si="3"/>
        <v>55.1</v>
      </c>
      <c r="F42" s="3">
        <f t="shared" si="4"/>
        <v>13.887044321957067</v>
      </c>
    </row>
    <row r="43" spans="2:10">
      <c r="B43" s="56">
        <f t="shared" si="1"/>
        <v>25.181701168189807</v>
      </c>
      <c r="C43" s="3">
        <f t="shared" si="0"/>
        <v>11.575541324666911</v>
      </c>
      <c r="D43" s="1">
        <f t="shared" si="2"/>
        <v>3.5</v>
      </c>
      <c r="E43" s="1">
        <f t="shared" si="3"/>
        <v>55.1</v>
      </c>
      <c r="F43" s="3">
        <f t="shared" si="4"/>
        <v>13.887044321957067</v>
      </c>
    </row>
    <row r="44" spans="2:10">
      <c r="B44" s="56">
        <f t="shared" si="1"/>
        <v>27.196237261644995</v>
      </c>
      <c r="C44" s="3">
        <f t="shared" si="0"/>
        <v>14.366248125214124</v>
      </c>
      <c r="D44" s="1">
        <f t="shared" si="2"/>
        <v>3.5</v>
      </c>
      <c r="E44" s="1">
        <f t="shared" si="3"/>
        <v>55.1</v>
      </c>
      <c r="F44" s="3">
        <f t="shared" si="4"/>
        <v>13.887044321957067</v>
      </c>
    </row>
    <row r="45" spans="2:10">
      <c r="B45" s="56">
        <f t="shared" si="1"/>
        <v>29.371936242576599</v>
      </c>
      <c r="C45" s="3">
        <f t="shared" si="0"/>
        <v>18.963347457200637</v>
      </c>
      <c r="D45" s="1">
        <f t="shared" si="2"/>
        <v>3.5</v>
      </c>
      <c r="E45" s="1">
        <f t="shared" si="3"/>
        <v>55.1</v>
      </c>
      <c r="F45" s="3">
        <f t="shared" si="4"/>
        <v>13.887044321957067</v>
      </c>
    </row>
    <row r="46" spans="2:10">
      <c r="B46" s="56">
        <f t="shared" si="1"/>
        <v>31.721691141982728</v>
      </c>
      <c r="C46" s="3">
        <f t="shared" si="0"/>
        <v>27.502396865902675</v>
      </c>
      <c r="D46" s="1">
        <f t="shared" si="2"/>
        <v>3.5</v>
      </c>
      <c r="E46" s="1">
        <f t="shared" si="3"/>
        <v>55.1</v>
      </c>
      <c r="F46" s="3">
        <f t="shared" si="4"/>
        <v>13.887044321957067</v>
      </c>
    </row>
    <row r="47" spans="2:10">
      <c r="B47" s="56">
        <f t="shared" si="1"/>
        <v>34.259426433341346</v>
      </c>
      <c r="C47" s="3">
        <f t="shared" si="0"/>
        <v>44.443052848902951</v>
      </c>
      <c r="D47" s="1">
        <f t="shared" si="2"/>
        <v>3.5</v>
      </c>
      <c r="E47" s="1">
        <f t="shared" si="3"/>
        <v>55.1</v>
      </c>
      <c r="F47" s="3">
        <f t="shared" si="4"/>
        <v>13.887044321957067</v>
      </c>
    </row>
    <row r="48" spans="2:10">
      <c r="B48" s="56">
        <f t="shared" si="1"/>
        <v>37.000180548008657</v>
      </c>
      <c r="C48" s="3">
        <f t="shared" si="0"/>
        <v>53.127082307156002</v>
      </c>
      <c r="D48" s="1">
        <f t="shared" si="2"/>
        <v>3.5</v>
      </c>
      <c r="E48" s="1">
        <f t="shared" si="3"/>
        <v>55.1</v>
      </c>
      <c r="F48" s="3">
        <f t="shared" si="4"/>
        <v>13.887044321957067</v>
      </c>
    </row>
    <row r="49" spans="2:6">
      <c r="B49" s="56">
        <f t="shared" si="1"/>
        <v>39.960194991849356</v>
      </c>
      <c r="C49" s="3">
        <f t="shared" si="0"/>
        <v>33.902570747532643</v>
      </c>
      <c r="D49" s="1">
        <f t="shared" si="2"/>
        <v>3.5</v>
      </c>
      <c r="E49" s="1">
        <f t="shared" si="3"/>
        <v>55.1</v>
      </c>
      <c r="F49" s="3">
        <f t="shared" si="4"/>
        <v>13.887044321957067</v>
      </c>
    </row>
    <row r="50" spans="2:6">
      <c r="B50" s="56">
        <f t="shared" si="1"/>
        <v>43.157010591197306</v>
      </c>
      <c r="C50" s="3">
        <f t="shared" si="0"/>
        <v>22.138985253047249</v>
      </c>
      <c r="D50" s="1">
        <f t="shared" si="2"/>
        <v>3.5</v>
      </c>
      <c r="E50" s="1">
        <f t="shared" si="3"/>
        <v>55.1</v>
      </c>
      <c r="F50" s="3">
        <f t="shared" si="4"/>
        <v>13.887044321957067</v>
      </c>
    </row>
    <row r="51" spans="2:6">
      <c r="B51" s="56">
        <f t="shared" si="1"/>
        <v>46.609571438493091</v>
      </c>
      <c r="C51" s="3">
        <f t="shared" si="0"/>
        <v>16.147850274441268</v>
      </c>
      <c r="D51" s="1">
        <f t="shared" si="2"/>
        <v>3.5</v>
      </c>
      <c r="E51" s="1">
        <f t="shared" si="3"/>
        <v>55.1</v>
      </c>
      <c r="F51" s="3">
        <f t="shared" si="4"/>
        <v>13.887044321957067</v>
      </c>
    </row>
    <row r="52" spans="2:6">
      <c r="B52" s="56">
        <f t="shared" si="1"/>
        <v>50.338337153572539</v>
      </c>
      <c r="C52" s="3">
        <f t="shared" si="0"/>
        <v>12.691030798427294</v>
      </c>
      <c r="D52" s="1">
        <f t="shared" si="2"/>
        <v>3.5</v>
      </c>
      <c r="E52" s="1">
        <f t="shared" si="3"/>
        <v>55.1</v>
      </c>
      <c r="F52" s="3">
        <f t="shared" si="4"/>
        <v>13.887044321957067</v>
      </c>
    </row>
    <row r="53" spans="2:6">
      <c r="B53" s="56">
        <f t="shared" si="1"/>
        <v>54.365404125858348</v>
      </c>
      <c r="C53" s="3">
        <f t="shared" si="0"/>
        <v>10.481847922456401</v>
      </c>
      <c r="D53" s="1">
        <f t="shared" si="2"/>
        <v>3.5</v>
      </c>
      <c r="E53" s="1">
        <f t="shared" si="3"/>
        <v>55.1</v>
      </c>
      <c r="F53" s="3">
        <f t="shared" si="4"/>
        <v>13.887044321957067</v>
      </c>
    </row>
    <row r="54" spans="2:6">
      <c r="B54" s="56">
        <f t="shared" si="1"/>
        <v>58.714636455927021</v>
      </c>
      <c r="C54" s="3">
        <f t="shared" si="0"/>
        <v>8.9649769040708094</v>
      </c>
      <c r="D54" s="1">
        <f t="shared" si="2"/>
        <v>3.5</v>
      </c>
      <c r="E54" s="1">
        <f t="shared" si="3"/>
        <v>55.1</v>
      </c>
      <c r="F54" s="3">
        <f t="shared" si="4"/>
        <v>13.887044321957067</v>
      </c>
    </row>
    <row r="55" spans="2:6">
      <c r="B55" s="56">
        <f t="shared" si="1"/>
        <v>63.411807372401185</v>
      </c>
      <c r="C55" s="3">
        <f t="shared" si="0"/>
        <v>7.8689217882978166</v>
      </c>
      <c r="D55" s="1">
        <f t="shared" si="2"/>
        <v>3.5</v>
      </c>
      <c r="E55" s="1">
        <f t="shared" si="3"/>
        <v>55.1</v>
      </c>
      <c r="F55" s="3">
        <f t="shared" si="4"/>
        <v>13.887044321957067</v>
      </c>
    </row>
    <row r="56" spans="2:6">
      <c r="B56" s="56">
        <f t="shared" si="1"/>
        <v>68.484751962193286</v>
      </c>
      <c r="C56" s="3">
        <f t="shared" si="0"/>
        <v>7.046803123529954</v>
      </c>
      <c r="D56" s="1">
        <f t="shared" si="2"/>
        <v>3.5</v>
      </c>
      <c r="E56" s="1">
        <f t="shared" si="3"/>
        <v>55.1</v>
      </c>
      <c r="F56" s="3">
        <f t="shared" si="4"/>
        <v>13.887044321957067</v>
      </c>
    </row>
    <row r="57" spans="2:6">
      <c r="B57" s="56">
        <f t="shared" si="1"/>
        <v>73.963532119168761</v>
      </c>
      <c r="C57" s="3">
        <f t="shared" si="0"/>
        <v>6.41263822586036</v>
      </c>
      <c r="D57" s="1">
        <f t="shared" si="2"/>
        <v>3.5</v>
      </c>
      <c r="E57" s="1">
        <f t="shared" si="3"/>
        <v>55.1</v>
      </c>
      <c r="F57" s="3">
        <f t="shared" si="4"/>
        <v>13.887044321957067</v>
      </c>
    </row>
    <row r="58" spans="2:6">
      <c r="B58" s="56">
        <f t="shared" si="1"/>
        <v>79.880614688702266</v>
      </c>
      <c r="C58" s="3">
        <f t="shared" si="0"/>
        <v>5.9128621118143254</v>
      </c>
      <c r="D58" s="1">
        <f t="shared" si="2"/>
        <v>3.5</v>
      </c>
      <c r="E58" s="1">
        <f t="shared" si="3"/>
        <v>55.1</v>
      </c>
      <c r="F58" s="3">
        <f t="shared" si="4"/>
        <v>13.887044321957067</v>
      </c>
    </row>
    <row r="59" spans="2:6">
      <c r="B59" s="56">
        <f t="shared" si="1"/>
        <v>86.27106386379846</v>
      </c>
      <c r="C59" s="3">
        <f t="shared" si="0"/>
        <v>5.5123893492077425</v>
      </c>
      <c r="D59" s="1">
        <f t="shared" si="2"/>
        <v>3.5</v>
      </c>
      <c r="E59" s="1">
        <f t="shared" si="3"/>
        <v>55.1</v>
      </c>
      <c r="F59" s="3">
        <f t="shared" si="4"/>
        <v>13.887044321957067</v>
      </c>
    </row>
    <row r="60" spans="2:6">
      <c r="B60" s="56">
        <f t="shared" si="1"/>
        <v>93.17274897290234</v>
      </c>
      <c r="C60" s="3">
        <f t="shared" si="0"/>
        <v>5.1872709484725403</v>
      </c>
      <c r="D60" s="1">
        <f t="shared" si="2"/>
        <v>3.5</v>
      </c>
      <c r="E60" s="1">
        <f t="shared" si="3"/>
        <v>55.1</v>
      </c>
      <c r="F60" s="3">
        <f t="shared" si="4"/>
        <v>13.887044321957067</v>
      </c>
    </row>
    <row r="61" spans="2:6">
      <c r="B61" s="56">
        <f t="shared" si="1"/>
        <v>100.62656889073453</v>
      </c>
      <c r="C61" s="3">
        <f t="shared" si="0"/>
        <v>4.9205853819976912</v>
      </c>
      <c r="D61" s="1">
        <f t="shared" si="2"/>
        <v>3.5</v>
      </c>
      <c r="E61" s="1">
        <f t="shared" si="3"/>
        <v>55.1</v>
      </c>
      <c r="F61" s="3">
        <f t="shared" si="4"/>
        <v>13.887044321957067</v>
      </c>
    </row>
    <row r="62" spans="2:6">
      <c r="B62" s="56">
        <f t="shared" si="1"/>
        <v>108.6766944019933</v>
      </c>
      <c r="C62" s="3">
        <f t="shared" si="0"/>
        <v>4.7000215056422956</v>
      </c>
      <c r="D62" s="1">
        <f t="shared" si="2"/>
        <v>3.5</v>
      </c>
      <c r="E62" s="1">
        <f t="shared" si="3"/>
        <v>55.1</v>
      </c>
      <c r="F62" s="3">
        <f t="shared" si="4"/>
        <v>13.887044321957067</v>
      </c>
    </row>
    <row r="63" spans="2:6">
      <c r="B63" s="56">
        <f t="shared" si="1"/>
        <v>117.37082995415277</v>
      </c>
      <c r="C63" s="3">
        <f t="shared" si="0"/>
        <v>4.5163956924187705</v>
      </c>
      <c r="D63" s="1">
        <f t="shared" si="2"/>
        <v>3.5</v>
      </c>
      <c r="E63" s="1">
        <f t="shared" si="3"/>
        <v>55.1</v>
      </c>
      <c r="F63" s="3">
        <f t="shared" si="4"/>
        <v>13.887044321957067</v>
      </c>
    </row>
    <row r="64" spans="2:6">
      <c r="B64" s="56">
        <f t="shared" si="1"/>
        <v>126.760496350485</v>
      </c>
      <c r="C64" s="3">
        <f t="shared" si="0"/>
        <v>4.3627088376137015</v>
      </c>
      <c r="D64" s="1">
        <f t="shared" si="2"/>
        <v>3.5</v>
      </c>
      <c r="E64" s="1">
        <f t="shared" si="3"/>
        <v>55.1</v>
      </c>
      <c r="F64" s="3">
        <f t="shared" si="4"/>
        <v>13.887044321957067</v>
      </c>
    </row>
    <row r="65" spans="2:6">
      <c r="B65" s="56">
        <f t="shared" si="1"/>
        <v>136.90133605852381</v>
      </c>
      <c r="C65" s="3">
        <f t="shared" si="0"/>
        <v>4.2335276776240782</v>
      </c>
      <c r="D65" s="1">
        <f t="shared" si="2"/>
        <v>3.5</v>
      </c>
      <c r="E65" s="1">
        <f t="shared" si="3"/>
        <v>55.1</v>
      </c>
      <c r="F65" s="3">
        <f t="shared" si="4"/>
        <v>13.887044321957067</v>
      </c>
    </row>
    <row r="66" spans="2:6">
      <c r="B66" s="56">
        <f t="shared" si="1"/>
        <v>147.85344294320572</v>
      </c>
      <c r="C66" s="3">
        <f t="shared" si="0"/>
        <v>4.1245675317536987</v>
      </c>
      <c r="D66" s="1">
        <f t="shared" si="2"/>
        <v>3.5</v>
      </c>
      <c r="E66" s="1">
        <f t="shared" si="3"/>
        <v>55.1</v>
      </c>
      <c r="F66" s="3">
        <f t="shared" si="4"/>
        <v>13.887044321957067</v>
      </c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Diagram</vt:lpstr>
      </vt:variant>
      <vt:variant>
        <vt:i4>8</vt:i4>
      </vt:variant>
    </vt:vector>
  </HeadingPairs>
  <TitlesOfParts>
    <vt:vector size="10" baseType="lpstr">
      <vt:lpstr>Spec's</vt:lpstr>
      <vt:lpstr>Test</vt:lpstr>
      <vt:lpstr>Limited SPL</vt:lpstr>
      <vt:lpstr>Vp &amp; Ip</vt:lpstr>
      <vt:lpstr>Power &amp; SPL</vt:lpstr>
      <vt:lpstr>SPL @ 2.83V</vt:lpstr>
      <vt:lpstr>SPL &amp; Ip @ 10Vp</vt:lpstr>
      <vt:lpstr>max SPL @ Vpeak</vt:lpstr>
      <vt:lpstr>Impedance</vt:lpstr>
      <vt:lpstr>EQ</vt:lpstr>
    </vt:vector>
  </TitlesOfParts>
  <Company>Linkwitz Lab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Closed box woofer</dc:title>
  <dc:creator>Siegfried Linkwitz</dc:creator>
  <cp:lastModifiedBy>Jonny Lindgren</cp:lastModifiedBy>
  <cp:lastPrinted>2014-11-23T10:14:24Z</cp:lastPrinted>
  <dcterms:created xsi:type="dcterms:W3CDTF">2001-07-16T01:21:36Z</dcterms:created>
  <dcterms:modified xsi:type="dcterms:W3CDTF">2014-11-28T16:32:06Z</dcterms:modified>
</cp:coreProperties>
</file>